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株\資産株\131.5976-高周波熱錬-3月\"/>
    </mc:Choice>
  </mc:AlternateContent>
  <xr:revisionPtr revIDLastSave="0" documentId="13_ncr:1_{D9312206-5739-4EC3-864C-F8F37B5900BC}" xr6:coauthVersionLast="45" xr6:coauthVersionMax="45" xr10:uidLastSave="{00000000-0000-0000-0000-000000000000}"/>
  <bookViews>
    <workbookView xWindow="-108" yWindow="-108" windowWidth="23256" windowHeight="12576" activeTab="5" xr2:uid="{89A34D5D-1C7D-4B4B-8C3D-2666CCEDD94E}"/>
  </bookViews>
  <sheets>
    <sheet name="売上構成" sheetId="2" r:id="rId1"/>
    <sheet name="株価指標" sheetId="1" r:id="rId2"/>
    <sheet name="株価指標2" sheetId="3" state="hidden" r:id="rId3"/>
    <sheet name="業績推移" sheetId="5" r:id="rId4"/>
    <sheet name="財務分析" sheetId="4" r:id="rId5"/>
    <sheet name="配当、自社株買い" sheetId="6" r:id="rId6"/>
  </sheets>
  <definedNames>
    <definedName name="_xlnm._FilterDatabase" localSheetId="1" hidden="1">株価指標!$C$1:$X$73</definedName>
    <definedName name="_xlnm._FilterDatabase" localSheetId="2" hidden="1">株価指標2!$C$2:$W$74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70" i="1" l="1"/>
  <c r="L12" i="4" l="1"/>
  <c r="M14" i="5"/>
  <c r="L14" i="5"/>
  <c r="M13" i="5"/>
  <c r="L13" i="5"/>
  <c r="M12" i="5"/>
  <c r="L12" i="5"/>
  <c r="M11" i="5"/>
  <c r="L11" i="5"/>
  <c r="M10" i="5"/>
  <c r="L10" i="5"/>
  <c r="M9" i="5"/>
  <c r="L9" i="5"/>
  <c r="M8" i="5"/>
  <c r="L8" i="5"/>
  <c r="M7" i="5"/>
  <c r="L7" i="5"/>
  <c r="M6" i="5"/>
  <c r="L6" i="5"/>
  <c r="M5" i="5"/>
  <c r="L5" i="5"/>
  <c r="M4" i="5"/>
  <c r="L4" i="5"/>
  <c r="L3" i="5" l="1"/>
  <c r="I14" i="5" l="1"/>
  <c r="J14" i="5"/>
  <c r="K14" i="5"/>
  <c r="M3" i="5" l="1"/>
  <c r="C76" i="1" l="1"/>
  <c r="C39" i="2" l="1"/>
  <c r="C38" i="2"/>
  <c r="C5" i="2"/>
  <c r="C4" i="2"/>
  <c r="K13" i="6" l="1"/>
  <c r="E1" i="4" a="1"/>
  <c r="E1" i="6" a="1"/>
  <c r="E1" i="5" a="1"/>
  <c r="E1" i="6" l="1"/>
  <c r="E1" i="4"/>
  <c r="E1" i="5"/>
  <c r="C44" i="2" l="1"/>
  <c r="B42" i="2"/>
  <c r="E42" i="2"/>
  <c r="E41" i="2"/>
  <c r="B41" i="2" l="1"/>
  <c r="B40" i="2"/>
  <c r="B39" i="2"/>
  <c r="B38" i="2"/>
  <c r="B37" i="2"/>
  <c r="C78" i="1" l="1"/>
  <c r="H78" i="1"/>
  <c r="G78" i="1"/>
  <c r="E78" i="1"/>
  <c r="D78" i="1"/>
  <c r="J4" i="4"/>
  <c r="K4" i="4"/>
  <c r="J5" i="4"/>
  <c r="K5" i="4"/>
  <c r="J6" i="4"/>
  <c r="K6" i="4"/>
  <c r="J7" i="4"/>
  <c r="K7" i="4"/>
  <c r="J8" i="4"/>
  <c r="K8" i="4"/>
  <c r="J9" i="4"/>
  <c r="K9" i="4"/>
  <c r="J10" i="4"/>
  <c r="K10" i="4"/>
  <c r="J11" i="4"/>
  <c r="K11" i="4"/>
  <c r="J12" i="4"/>
  <c r="K12" i="4"/>
  <c r="J13" i="4"/>
  <c r="K13" i="4"/>
  <c r="J14" i="4"/>
  <c r="K14" i="4"/>
  <c r="K3" i="4"/>
  <c r="J3" i="4"/>
  <c r="H4" i="6"/>
  <c r="H5" i="6"/>
  <c r="H6" i="6"/>
  <c r="H7" i="6"/>
  <c r="H8" i="6"/>
  <c r="H9" i="6"/>
  <c r="H10" i="6"/>
  <c r="H11" i="6"/>
  <c r="H12" i="6"/>
  <c r="H13" i="6"/>
  <c r="H3" i="6"/>
  <c r="J4" i="5"/>
  <c r="K4" i="5"/>
  <c r="J5" i="5"/>
  <c r="K5" i="5"/>
  <c r="J6" i="5"/>
  <c r="K6" i="5"/>
  <c r="J7" i="5"/>
  <c r="K7" i="5"/>
  <c r="J8" i="5"/>
  <c r="K8" i="5"/>
  <c r="J9" i="5"/>
  <c r="K9" i="5"/>
  <c r="J10" i="5"/>
  <c r="K10" i="5"/>
  <c r="J11" i="5"/>
  <c r="K11" i="5"/>
  <c r="J12" i="5"/>
  <c r="K12" i="5"/>
  <c r="J13" i="5"/>
  <c r="K13" i="5"/>
  <c r="K3" i="5"/>
  <c r="J3" i="5"/>
  <c r="F78" i="1" l="1"/>
  <c r="I78" i="1"/>
  <c r="D70" i="3" l="1"/>
  <c r="C70" i="3" l="1"/>
  <c r="J70" i="1" l="1"/>
  <c r="L4" i="4" l="1"/>
  <c r="H11" i="3"/>
  <c r="I11" i="3"/>
  <c r="J11" i="3"/>
  <c r="H13" i="3"/>
  <c r="N13" i="3"/>
  <c r="H14" i="3"/>
  <c r="H15" i="3"/>
  <c r="H16" i="3"/>
  <c r="H17" i="3"/>
  <c r="H18" i="3"/>
  <c r="I18" i="3"/>
  <c r="J18" i="3"/>
  <c r="H19" i="3"/>
  <c r="I19" i="3"/>
  <c r="J19" i="3" s="1"/>
  <c r="H20" i="3"/>
  <c r="I20" i="3"/>
  <c r="J20" i="3"/>
  <c r="H21" i="3"/>
  <c r="I21" i="3"/>
  <c r="J21" i="3" s="1"/>
  <c r="N21" i="3"/>
  <c r="H22" i="3"/>
  <c r="I22" i="3"/>
  <c r="J22" i="3" s="1"/>
  <c r="H23" i="3"/>
  <c r="I23" i="3"/>
  <c r="J23" i="3"/>
  <c r="L23" i="3"/>
  <c r="H24" i="3"/>
  <c r="I24" i="3"/>
  <c r="J24" i="3"/>
  <c r="N24" i="3"/>
  <c r="H25" i="3"/>
  <c r="I25" i="3"/>
  <c r="J25" i="3"/>
  <c r="N25" i="3"/>
  <c r="H26" i="3"/>
  <c r="I26" i="3"/>
  <c r="J26" i="3"/>
  <c r="H27" i="3"/>
  <c r="I27" i="3"/>
  <c r="J27" i="3" s="1"/>
  <c r="H28" i="3"/>
  <c r="I28" i="3"/>
  <c r="J28" i="3"/>
  <c r="H29" i="3"/>
  <c r="I29" i="3"/>
  <c r="J29" i="3" s="1"/>
  <c r="H30" i="3"/>
  <c r="I30" i="3"/>
  <c r="J30" i="3" s="1"/>
  <c r="N30" i="3"/>
  <c r="H31" i="3"/>
  <c r="J31" i="3"/>
  <c r="H32" i="3"/>
  <c r="J32" i="3"/>
  <c r="H33" i="3"/>
  <c r="I33" i="3"/>
  <c r="J33" i="3" s="1"/>
  <c r="H34" i="3"/>
  <c r="J34" i="3"/>
  <c r="H35" i="3"/>
  <c r="I35" i="3"/>
  <c r="J35" i="3" s="1"/>
  <c r="H36" i="3"/>
  <c r="I36" i="3"/>
  <c r="J36" i="3"/>
  <c r="H37" i="3"/>
  <c r="I37" i="3"/>
  <c r="J37" i="3" s="1"/>
  <c r="H38" i="3"/>
  <c r="I38" i="3"/>
  <c r="J38" i="3"/>
  <c r="H39" i="3"/>
  <c r="I39" i="3"/>
  <c r="J39" i="3" s="1"/>
  <c r="N39" i="3"/>
  <c r="H40" i="3"/>
  <c r="I40" i="3"/>
  <c r="J40" i="3" s="1"/>
  <c r="H41" i="3"/>
  <c r="I41" i="3"/>
  <c r="J41" i="3"/>
  <c r="H42" i="3"/>
  <c r="I42" i="3"/>
  <c r="J42" i="3" s="1"/>
  <c r="H43" i="3"/>
  <c r="I43" i="3"/>
  <c r="J43" i="3"/>
  <c r="H44" i="3"/>
  <c r="I44" i="3"/>
  <c r="J44" i="3" s="1"/>
  <c r="H45" i="3"/>
  <c r="J45" i="3"/>
  <c r="H46" i="3"/>
  <c r="I46" i="3"/>
  <c r="J46" i="3"/>
  <c r="N46" i="3"/>
  <c r="H47" i="3"/>
  <c r="J47" i="3"/>
  <c r="H48" i="3"/>
  <c r="I48" i="3"/>
  <c r="J48" i="3" s="1"/>
  <c r="H49" i="3"/>
  <c r="I49" i="3"/>
  <c r="J49" i="3"/>
  <c r="H50" i="3"/>
  <c r="I50" i="3"/>
  <c r="J50" i="3"/>
  <c r="H51" i="3"/>
  <c r="I51" i="3"/>
  <c r="J51" i="3" s="1"/>
  <c r="H52" i="3"/>
  <c r="I52" i="3"/>
  <c r="J52" i="3"/>
  <c r="H53" i="3"/>
  <c r="I53" i="3"/>
  <c r="J53" i="3"/>
  <c r="H54" i="3"/>
  <c r="J54" i="3"/>
  <c r="H55" i="3"/>
  <c r="J55" i="3"/>
  <c r="H56" i="3"/>
  <c r="I56" i="3"/>
  <c r="J56" i="3"/>
  <c r="H57" i="3"/>
  <c r="J57" i="3"/>
  <c r="H58" i="3"/>
  <c r="J58" i="3"/>
  <c r="H59" i="3"/>
  <c r="J59" i="3"/>
  <c r="H60" i="3"/>
  <c r="J60" i="3"/>
  <c r="H61" i="3"/>
  <c r="J61" i="3"/>
  <c r="F62" i="3"/>
  <c r="H62" i="3"/>
  <c r="J62" i="3"/>
  <c r="K62" i="3"/>
  <c r="L62" i="3"/>
  <c r="H63" i="3"/>
  <c r="J63" i="3"/>
  <c r="H64" i="3"/>
  <c r="I64" i="3"/>
  <c r="J64" i="3"/>
  <c r="H65" i="3"/>
  <c r="I65" i="3"/>
  <c r="J65" i="3" s="1"/>
  <c r="H66" i="3"/>
  <c r="J66" i="3"/>
  <c r="H67" i="3"/>
  <c r="J67" i="3"/>
  <c r="H68" i="3"/>
  <c r="J68" i="3"/>
  <c r="H69" i="3"/>
  <c r="I69" i="3"/>
  <c r="J69" i="3" s="1"/>
  <c r="H70" i="3"/>
  <c r="I70" i="3"/>
  <c r="J70" i="3" s="1"/>
  <c r="H71" i="3"/>
  <c r="I71" i="3"/>
  <c r="J71" i="3"/>
  <c r="H72" i="3"/>
  <c r="I72" i="3"/>
  <c r="J72" i="3" s="1"/>
  <c r="H73" i="3"/>
  <c r="I73" i="3"/>
  <c r="J73" i="3"/>
  <c r="H74" i="3" l="1"/>
  <c r="H70" i="1" l="1"/>
  <c r="Q70" i="1"/>
  <c r="D42" i="2" l="1"/>
  <c r="D41" i="2" l="1"/>
  <c r="D40" i="2"/>
  <c r="D38" i="2"/>
  <c r="D39" i="2"/>
  <c r="E40" i="2"/>
  <c r="L6" i="4" l="1"/>
  <c r="E39" i="2" l="1"/>
  <c r="E38" i="2"/>
  <c r="K11" i="6" l="1"/>
  <c r="K12" i="6" l="1"/>
  <c r="K10" i="6"/>
  <c r="K9" i="6"/>
  <c r="K8" i="6"/>
  <c r="K7" i="6"/>
  <c r="K6" i="6"/>
  <c r="K5" i="6"/>
  <c r="K4" i="6"/>
  <c r="M4" i="4" l="1"/>
  <c r="L5" i="4"/>
  <c r="M5" i="4" s="1"/>
  <c r="M6" i="4"/>
  <c r="L7" i="4"/>
  <c r="M7" i="4" s="1"/>
  <c r="L8" i="4"/>
  <c r="M8" i="4" s="1"/>
  <c r="L9" i="4"/>
  <c r="M9" i="4" s="1"/>
  <c r="L10" i="4"/>
  <c r="M10" i="4" s="1"/>
  <c r="L11" i="4"/>
  <c r="M11" i="4" s="1"/>
  <c r="M12" i="4"/>
  <c r="L13" i="4"/>
  <c r="M13" i="4" s="1"/>
  <c r="L14" i="4"/>
  <c r="M14" i="4" s="1"/>
  <c r="C10" i="2" l="1"/>
  <c r="D9" i="2" s="1"/>
  <c r="D4" i="2" l="1"/>
  <c r="I13" i="6" l="1"/>
  <c r="L3" i="6" l="1"/>
  <c r="L4" i="6" s="1"/>
  <c r="L5" i="6" s="1"/>
  <c r="L6" i="6" s="1"/>
  <c r="L7" i="6" s="1"/>
  <c r="L8" i="6" s="1"/>
  <c r="L9" i="6" s="1"/>
  <c r="L10" i="6" s="1"/>
  <c r="L11" i="6" s="1"/>
  <c r="L12" i="6" s="1"/>
  <c r="I12" i="6"/>
  <c r="I11" i="6"/>
  <c r="I10" i="6"/>
  <c r="I9" i="6"/>
  <c r="I8" i="6"/>
  <c r="I7" i="6"/>
  <c r="I6" i="6"/>
  <c r="I5" i="6"/>
  <c r="I4" i="6"/>
  <c r="I3" i="6"/>
  <c r="I13" i="5"/>
  <c r="I12" i="5"/>
  <c r="I11" i="5"/>
  <c r="I10" i="5"/>
  <c r="I9" i="5"/>
  <c r="I8" i="5"/>
  <c r="I7" i="5"/>
  <c r="I6" i="5"/>
  <c r="I5" i="5"/>
  <c r="I4" i="5"/>
  <c r="U73" i="3" l="1"/>
  <c r="T73" i="3"/>
  <c r="R73" i="3"/>
  <c r="Q73" i="3"/>
  <c r="P73" i="3"/>
  <c r="U72" i="3"/>
  <c r="T72" i="3"/>
  <c r="V72" i="3" s="1"/>
  <c r="R72" i="3"/>
  <c r="Q72" i="3"/>
  <c r="P72" i="3"/>
  <c r="U71" i="3"/>
  <c r="T71" i="3"/>
  <c r="R71" i="3"/>
  <c r="Q71" i="3"/>
  <c r="P71" i="3"/>
  <c r="U69" i="3"/>
  <c r="T69" i="3"/>
  <c r="R69" i="3"/>
  <c r="Q69" i="3"/>
  <c r="P69" i="3"/>
  <c r="U68" i="3"/>
  <c r="T68" i="3"/>
  <c r="V68" i="3" s="1"/>
  <c r="R68" i="3"/>
  <c r="Q68" i="3"/>
  <c r="P68" i="3"/>
  <c r="U67" i="3"/>
  <c r="T67" i="3"/>
  <c r="R67" i="3"/>
  <c r="Q67" i="3"/>
  <c r="P67" i="3"/>
  <c r="U66" i="3"/>
  <c r="T66" i="3"/>
  <c r="R66" i="3"/>
  <c r="Q66" i="3"/>
  <c r="P66" i="3"/>
  <c r="U65" i="3"/>
  <c r="T65" i="3"/>
  <c r="R65" i="3"/>
  <c r="Q65" i="3"/>
  <c r="P65" i="3"/>
  <c r="U64" i="3"/>
  <c r="T64" i="3"/>
  <c r="R64" i="3"/>
  <c r="Q64" i="3"/>
  <c r="P64" i="3"/>
  <c r="U63" i="3"/>
  <c r="T63" i="3"/>
  <c r="R63" i="3"/>
  <c r="Q63" i="3"/>
  <c r="P63" i="3"/>
  <c r="U61" i="3"/>
  <c r="T61" i="3"/>
  <c r="R61" i="3"/>
  <c r="Q61" i="3"/>
  <c r="P61" i="3"/>
  <c r="U60" i="3"/>
  <c r="T60" i="3"/>
  <c r="R60" i="3"/>
  <c r="Q60" i="3"/>
  <c r="P60" i="3"/>
  <c r="U59" i="3"/>
  <c r="T59" i="3"/>
  <c r="R59" i="3"/>
  <c r="Q59" i="3"/>
  <c r="P59" i="3"/>
  <c r="U58" i="3"/>
  <c r="T58" i="3"/>
  <c r="R58" i="3"/>
  <c r="Q58" i="3"/>
  <c r="P58" i="3"/>
  <c r="U57" i="3"/>
  <c r="T57" i="3"/>
  <c r="R57" i="3"/>
  <c r="Q57" i="3"/>
  <c r="P57" i="3"/>
  <c r="U56" i="3"/>
  <c r="T56" i="3"/>
  <c r="R56" i="3"/>
  <c r="Q56" i="3"/>
  <c r="P56" i="3"/>
  <c r="U55" i="3"/>
  <c r="T55" i="3"/>
  <c r="R55" i="3"/>
  <c r="Q55" i="3"/>
  <c r="P55" i="3"/>
  <c r="U54" i="3"/>
  <c r="T54" i="3"/>
  <c r="R54" i="3"/>
  <c r="Q54" i="3"/>
  <c r="P54" i="3"/>
  <c r="U53" i="3"/>
  <c r="T53" i="3"/>
  <c r="R53" i="3"/>
  <c r="Q53" i="3"/>
  <c r="P53" i="3"/>
  <c r="U52" i="3"/>
  <c r="T52" i="3"/>
  <c r="R52" i="3"/>
  <c r="Q52" i="3"/>
  <c r="P52" i="3"/>
  <c r="U51" i="3"/>
  <c r="T51" i="3"/>
  <c r="R51" i="3"/>
  <c r="Q51" i="3"/>
  <c r="P51" i="3"/>
  <c r="U50" i="3"/>
  <c r="T50" i="3"/>
  <c r="R50" i="3"/>
  <c r="Q50" i="3"/>
  <c r="P50" i="3"/>
  <c r="U49" i="3"/>
  <c r="T49" i="3"/>
  <c r="R49" i="3"/>
  <c r="Q49" i="3"/>
  <c r="P49" i="3"/>
  <c r="U48" i="3"/>
  <c r="T48" i="3"/>
  <c r="R48" i="3"/>
  <c r="Q48" i="3"/>
  <c r="P48" i="3"/>
  <c r="U47" i="3"/>
  <c r="T47" i="3"/>
  <c r="R47" i="3"/>
  <c r="Q47" i="3"/>
  <c r="P47" i="3"/>
  <c r="U46" i="3"/>
  <c r="T46" i="3"/>
  <c r="P46" i="3"/>
  <c r="R46" i="3"/>
  <c r="U45" i="3"/>
  <c r="T45" i="3"/>
  <c r="R45" i="3"/>
  <c r="Q45" i="3"/>
  <c r="P45" i="3"/>
  <c r="U44" i="3"/>
  <c r="T44" i="3"/>
  <c r="R44" i="3"/>
  <c r="Q44" i="3"/>
  <c r="P44" i="3"/>
  <c r="U43" i="3"/>
  <c r="T43" i="3"/>
  <c r="R43" i="3"/>
  <c r="Q43" i="3"/>
  <c r="P43" i="3"/>
  <c r="U42" i="3"/>
  <c r="T42" i="3"/>
  <c r="R42" i="3"/>
  <c r="Q42" i="3"/>
  <c r="P42" i="3"/>
  <c r="U41" i="3"/>
  <c r="T41" i="3"/>
  <c r="R41" i="3"/>
  <c r="Q41" i="3"/>
  <c r="P41" i="3"/>
  <c r="U40" i="3"/>
  <c r="T40" i="3"/>
  <c r="R40" i="3"/>
  <c r="Q40" i="3"/>
  <c r="P40" i="3"/>
  <c r="U39" i="3"/>
  <c r="T39" i="3"/>
  <c r="P39" i="3"/>
  <c r="Q39" i="3"/>
  <c r="U38" i="3"/>
  <c r="T38" i="3"/>
  <c r="R38" i="3"/>
  <c r="Q38" i="3"/>
  <c r="P38" i="3"/>
  <c r="U37" i="3"/>
  <c r="T37" i="3"/>
  <c r="R37" i="3"/>
  <c r="Q37" i="3"/>
  <c r="P37" i="3"/>
  <c r="U36" i="3"/>
  <c r="T36" i="3"/>
  <c r="R36" i="3"/>
  <c r="Q36" i="3"/>
  <c r="P36" i="3"/>
  <c r="U35" i="3"/>
  <c r="T35" i="3"/>
  <c r="R35" i="3"/>
  <c r="Q35" i="3"/>
  <c r="P35" i="3"/>
  <c r="U34" i="3"/>
  <c r="T34" i="3"/>
  <c r="R34" i="3"/>
  <c r="Q34" i="3"/>
  <c r="P34" i="3"/>
  <c r="U33" i="3"/>
  <c r="T33" i="3"/>
  <c r="R33" i="3"/>
  <c r="Q33" i="3"/>
  <c r="P33" i="3"/>
  <c r="U32" i="3"/>
  <c r="T32" i="3"/>
  <c r="R32" i="3"/>
  <c r="Q32" i="3"/>
  <c r="P32" i="3"/>
  <c r="U31" i="3"/>
  <c r="T31" i="3"/>
  <c r="R31" i="3"/>
  <c r="Q31" i="3"/>
  <c r="P31" i="3"/>
  <c r="U30" i="3"/>
  <c r="T30" i="3"/>
  <c r="R30" i="3"/>
  <c r="P30" i="3"/>
  <c r="Q30" i="3"/>
  <c r="U29" i="3"/>
  <c r="T29" i="3"/>
  <c r="R29" i="3"/>
  <c r="Q29" i="3"/>
  <c r="S29" i="3" s="1"/>
  <c r="P29" i="3"/>
  <c r="U28" i="3"/>
  <c r="T28" i="3"/>
  <c r="R28" i="3"/>
  <c r="Q28" i="3"/>
  <c r="P28" i="3"/>
  <c r="U27" i="3"/>
  <c r="T27" i="3"/>
  <c r="R27" i="3"/>
  <c r="Q27" i="3"/>
  <c r="P27" i="3"/>
  <c r="U26" i="3"/>
  <c r="T26" i="3"/>
  <c r="R26" i="3"/>
  <c r="Q26" i="3"/>
  <c r="P26" i="3"/>
  <c r="U25" i="3"/>
  <c r="T25" i="3"/>
  <c r="Q25" i="3"/>
  <c r="P25" i="3"/>
  <c r="R25" i="3"/>
  <c r="U24" i="3"/>
  <c r="T24" i="3"/>
  <c r="P24" i="3"/>
  <c r="R24" i="3"/>
  <c r="T23" i="3"/>
  <c r="R23" i="3"/>
  <c r="Q23" i="3"/>
  <c r="P23" i="3"/>
  <c r="U23" i="3"/>
  <c r="U22" i="3"/>
  <c r="T22" i="3"/>
  <c r="V22" i="3" s="1"/>
  <c r="R22" i="3"/>
  <c r="Q22" i="3"/>
  <c r="P22" i="3"/>
  <c r="U21" i="3"/>
  <c r="T21" i="3"/>
  <c r="P21" i="3"/>
  <c r="R21" i="3"/>
  <c r="U20" i="3"/>
  <c r="T20" i="3"/>
  <c r="R20" i="3"/>
  <c r="Q20" i="3"/>
  <c r="P20" i="3"/>
  <c r="U19" i="3"/>
  <c r="T19" i="3"/>
  <c r="R19" i="3"/>
  <c r="Q19" i="3"/>
  <c r="S19" i="3" s="1"/>
  <c r="P19" i="3"/>
  <c r="U18" i="3"/>
  <c r="T18" i="3"/>
  <c r="R18" i="3"/>
  <c r="Q18" i="3"/>
  <c r="P18" i="3"/>
  <c r="U17" i="3"/>
  <c r="T17" i="3"/>
  <c r="R17" i="3"/>
  <c r="Q17" i="3"/>
  <c r="P17" i="3"/>
  <c r="U16" i="3"/>
  <c r="T16" i="3"/>
  <c r="R16" i="3"/>
  <c r="Q16" i="3"/>
  <c r="P16" i="3"/>
  <c r="U15" i="3"/>
  <c r="T15" i="3"/>
  <c r="R15" i="3"/>
  <c r="Q15" i="3"/>
  <c r="S15" i="3" s="1"/>
  <c r="P15" i="3"/>
  <c r="U14" i="3"/>
  <c r="T14" i="3"/>
  <c r="R14" i="3"/>
  <c r="Q14" i="3"/>
  <c r="P14" i="3"/>
  <c r="U13" i="3"/>
  <c r="T13" i="3"/>
  <c r="P13" i="3"/>
  <c r="R13" i="3"/>
  <c r="U12" i="3"/>
  <c r="T12" i="3"/>
  <c r="R12" i="3"/>
  <c r="Q12" i="3"/>
  <c r="P12" i="3"/>
  <c r="U11" i="3"/>
  <c r="T11" i="3"/>
  <c r="R11" i="3"/>
  <c r="Q11" i="3"/>
  <c r="P11" i="3"/>
  <c r="D5" i="2"/>
  <c r="V32" i="3" l="1"/>
  <c r="S17" i="3"/>
  <c r="V30" i="3"/>
  <c r="V39" i="3"/>
  <c r="V43" i="3"/>
  <c r="S45" i="3"/>
  <c r="S67" i="3"/>
  <c r="S18" i="3"/>
  <c r="V25" i="3"/>
  <c r="V29" i="3"/>
  <c r="S31" i="3"/>
  <c r="V33" i="3"/>
  <c r="S35" i="3"/>
  <c r="V37" i="3"/>
  <c r="V59" i="3"/>
  <c r="V64" i="3"/>
  <c r="S66" i="3"/>
  <c r="S69" i="3"/>
  <c r="S73" i="3"/>
  <c r="S11" i="3"/>
  <c r="S26" i="3"/>
  <c r="V40" i="3"/>
  <c r="S42" i="3"/>
  <c r="V53" i="3"/>
  <c r="V57" i="3"/>
  <c r="S59" i="3"/>
  <c r="V69" i="3"/>
  <c r="V73" i="3"/>
  <c r="S23" i="3"/>
  <c r="S25" i="3"/>
  <c r="S64" i="3"/>
  <c r="S28" i="3"/>
  <c r="V35" i="3"/>
  <c r="S37" i="3"/>
  <c r="Q46" i="3"/>
  <c r="S54" i="3"/>
  <c r="V12" i="3"/>
  <c r="S20" i="3"/>
  <c r="S44" i="3"/>
  <c r="V54" i="3"/>
  <c r="S60" i="3"/>
  <c r="S71" i="3"/>
  <c r="V11" i="3"/>
  <c r="V41" i="3"/>
  <c r="S49" i="3"/>
  <c r="S53" i="3"/>
  <c r="S57" i="3"/>
  <c r="V27" i="3"/>
  <c r="S56" i="3"/>
  <c r="V13" i="3"/>
  <c r="V15" i="3"/>
  <c r="V17" i="3"/>
  <c r="V18" i="3"/>
  <c r="V19" i="3"/>
  <c r="V20" i="3"/>
  <c r="S27" i="3"/>
  <c r="V31" i="3"/>
  <c r="S33" i="3"/>
  <c r="S47" i="3"/>
  <c r="S51" i="3"/>
  <c r="V56" i="3"/>
  <c r="V60" i="3"/>
  <c r="V61" i="3"/>
  <c r="S63" i="3"/>
  <c r="S65" i="3"/>
  <c r="D6" i="2"/>
  <c r="D7" i="2"/>
  <c r="D8" i="2"/>
  <c r="Q13" i="3"/>
  <c r="S13" i="3" s="1"/>
  <c r="S22" i="3"/>
  <c r="Q24" i="3"/>
  <c r="S24" i="3" s="1"/>
  <c r="V34" i="3"/>
  <c r="V63" i="3"/>
  <c r="V65" i="3"/>
  <c r="S68" i="3"/>
  <c r="S72" i="3"/>
  <c r="V36" i="3"/>
  <c r="V38" i="3"/>
  <c r="S43" i="3"/>
  <c r="S12" i="3"/>
  <c r="V14" i="3"/>
  <c r="V16" i="3"/>
  <c r="Q21" i="3"/>
  <c r="S21" i="3" s="1"/>
  <c r="V24" i="3"/>
  <c r="S34" i="3"/>
  <c r="S36" i="3"/>
  <c r="S38" i="3"/>
  <c r="S40" i="3"/>
  <c r="S41" i="3"/>
  <c r="V46" i="3"/>
  <c r="V47" i="3"/>
  <c r="V48" i="3"/>
  <c r="V49" i="3"/>
  <c r="V50" i="3"/>
  <c r="V51" i="3"/>
  <c r="V52" i="3"/>
  <c r="V55" i="3"/>
  <c r="V58" i="3"/>
  <c r="S61" i="3"/>
  <c r="U62" i="3"/>
  <c r="R62" i="3"/>
  <c r="S14" i="3"/>
  <c r="S16" i="3"/>
  <c r="V21" i="3"/>
  <c r="V26" i="3"/>
  <c r="V28" i="3"/>
  <c r="S30" i="3"/>
  <c r="S32" i="3"/>
  <c r="R39" i="3"/>
  <c r="S39" i="3" s="1"/>
  <c r="V42" i="3"/>
  <c r="V44" i="3"/>
  <c r="V45" i="3"/>
  <c r="S48" i="3"/>
  <c r="S50" i="3"/>
  <c r="S52" i="3"/>
  <c r="S55" i="3"/>
  <c r="S58" i="3"/>
  <c r="V66" i="3"/>
  <c r="V67" i="3"/>
  <c r="V71" i="3"/>
  <c r="V23" i="3"/>
  <c r="S46" i="3"/>
  <c r="P62" i="3"/>
  <c r="T62" i="3"/>
  <c r="Q62" i="3"/>
  <c r="U73" i="1"/>
  <c r="T73" i="1"/>
  <c r="R73" i="1"/>
  <c r="Q73" i="1"/>
  <c r="P73" i="1"/>
  <c r="I73" i="1"/>
  <c r="J73" i="1" s="1"/>
  <c r="H73" i="1"/>
  <c r="U72" i="1"/>
  <c r="T72" i="1"/>
  <c r="R72" i="1"/>
  <c r="Q72" i="1"/>
  <c r="P72" i="1"/>
  <c r="I72" i="1"/>
  <c r="J72" i="1" s="1"/>
  <c r="H72" i="1"/>
  <c r="U71" i="1"/>
  <c r="T71" i="1"/>
  <c r="R71" i="1"/>
  <c r="Q71" i="1"/>
  <c r="P71" i="1"/>
  <c r="I71" i="1"/>
  <c r="J71" i="1" s="1"/>
  <c r="H71" i="1"/>
  <c r="U70" i="1"/>
  <c r="T70" i="1"/>
  <c r="R70" i="1"/>
  <c r="Q70" i="3"/>
  <c r="P70" i="1"/>
  <c r="U69" i="1"/>
  <c r="T69" i="1"/>
  <c r="R69" i="1"/>
  <c r="Q69" i="1"/>
  <c r="P69" i="1"/>
  <c r="I69" i="1"/>
  <c r="J69" i="1" s="1"/>
  <c r="H69" i="1"/>
  <c r="U68" i="1"/>
  <c r="T68" i="1"/>
  <c r="R68" i="1"/>
  <c r="Q68" i="1"/>
  <c r="P68" i="1"/>
  <c r="J68" i="1"/>
  <c r="H68" i="1"/>
  <c r="U67" i="1"/>
  <c r="T67" i="1"/>
  <c r="R67" i="1"/>
  <c r="Q67" i="1"/>
  <c r="P67" i="1"/>
  <c r="J67" i="1"/>
  <c r="H67" i="1"/>
  <c r="U66" i="1"/>
  <c r="T66" i="1"/>
  <c r="R66" i="1"/>
  <c r="Q66" i="1"/>
  <c r="P66" i="1"/>
  <c r="J66" i="1"/>
  <c r="H66" i="1"/>
  <c r="U65" i="1"/>
  <c r="T65" i="1"/>
  <c r="R65" i="1"/>
  <c r="Q65" i="1"/>
  <c r="P65" i="1"/>
  <c r="I65" i="1"/>
  <c r="J65" i="1" s="1"/>
  <c r="H65" i="1"/>
  <c r="U64" i="1"/>
  <c r="T64" i="1"/>
  <c r="V64" i="1" s="1"/>
  <c r="R64" i="1"/>
  <c r="Q64" i="1"/>
  <c r="P64" i="1"/>
  <c r="I64" i="1"/>
  <c r="J64" i="1" s="1"/>
  <c r="H64" i="1"/>
  <c r="U63" i="1"/>
  <c r="T63" i="1"/>
  <c r="R63" i="1"/>
  <c r="Q63" i="1"/>
  <c r="P63" i="1"/>
  <c r="J63" i="1"/>
  <c r="H63" i="1"/>
  <c r="L62" i="1"/>
  <c r="K62" i="1"/>
  <c r="J62" i="1"/>
  <c r="F62" i="1"/>
  <c r="U61" i="1"/>
  <c r="T61" i="1"/>
  <c r="R61" i="1"/>
  <c r="Q61" i="1"/>
  <c r="S61" i="1" s="1"/>
  <c r="P61" i="1"/>
  <c r="J61" i="1"/>
  <c r="H61" i="1"/>
  <c r="U60" i="1"/>
  <c r="T60" i="1"/>
  <c r="R60" i="1"/>
  <c r="Q60" i="1"/>
  <c r="P60" i="1"/>
  <c r="J60" i="1"/>
  <c r="H60" i="1"/>
  <c r="U59" i="1"/>
  <c r="T59" i="1"/>
  <c r="R59" i="1"/>
  <c r="Q59" i="1"/>
  <c r="P59" i="1"/>
  <c r="J59" i="1"/>
  <c r="H59" i="1"/>
  <c r="U58" i="1"/>
  <c r="T58" i="1"/>
  <c r="R58" i="1"/>
  <c r="Q58" i="1"/>
  <c r="P58" i="1"/>
  <c r="J58" i="1"/>
  <c r="H58" i="1"/>
  <c r="U57" i="1"/>
  <c r="T57" i="1"/>
  <c r="R57" i="1"/>
  <c r="Q57" i="1"/>
  <c r="P57" i="1"/>
  <c r="J57" i="1"/>
  <c r="H57" i="1"/>
  <c r="U56" i="1"/>
  <c r="T56" i="1"/>
  <c r="R56" i="1"/>
  <c r="Q56" i="1"/>
  <c r="P56" i="1"/>
  <c r="I56" i="1"/>
  <c r="J56" i="1" s="1"/>
  <c r="H56" i="1"/>
  <c r="U55" i="1"/>
  <c r="T55" i="1"/>
  <c r="R55" i="1"/>
  <c r="Q55" i="1"/>
  <c r="P55" i="1"/>
  <c r="J55" i="1"/>
  <c r="H55" i="1"/>
  <c r="U54" i="1"/>
  <c r="T54" i="1"/>
  <c r="R54" i="1"/>
  <c r="Q54" i="1"/>
  <c r="P54" i="1"/>
  <c r="J54" i="1"/>
  <c r="H54" i="1"/>
  <c r="U53" i="1"/>
  <c r="T53" i="1"/>
  <c r="R53" i="1"/>
  <c r="Q53" i="1"/>
  <c r="P53" i="1"/>
  <c r="I53" i="1"/>
  <c r="J53" i="1" s="1"/>
  <c r="H53" i="1"/>
  <c r="U52" i="1"/>
  <c r="T52" i="1"/>
  <c r="R52" i="1"/>
  <c r="Q52" i="1"/>
  <c r="P52" i="1"/>
  <c r="I52" i="1"/>
  <c r="J52" i="1" s="1"/>
  <c r="H52" i="1"/>
  <c r="U51" i="1"/>
  <c r="T51" i="1"/>
  <c r="R51" i="1"/>
  <c r="Q51" i="1"/>
  <c r="P51" i="1"/>
  <c r="I51" i="1"/>
  <c r="J51" i="1" s="1"/>
  <c r="H51" i="1"/>
  <c r="U50" i="1"/>
  <c r="T50" i="1"/>
  <c r="R50" i="1"/>
  <c r="Q50" i="1"/>
  <c r="P50" i="1"/>
  <c r="I50" i="1"/>
  <c r="J50" i="1" s="1"/>
  <c r="H50" i="1"/>
  <c r="U49" i="1"/>
  <c r="T49" i="1"/>
  <c r="R49" i="1"/>
  <c r="Q49" i="1"/>
  <c r="S49" i="1" s="1"/>
  <c r="P49" i="1"/>
  <c r="I49" i="1"/>
  <c r="J49" i="1" s="1"/>
  <c r="H49" i="1"/>
  <c r="U48" i="1"/>
  <c r="T48" i="1"/>
  <c r="R48" i="1"/>
  <c r="Q48" i="1"/>
  <c r="P48" i="1"/>
  <c r="I48" i="1"/>
  <c r="J48" i="1" s="1"/>
  <c r="H48" i="1"/>
  <c r="U47" i="1"/>
  <c r="T47" i="1"/>
  <c r="R47" i="1"/>
  <c r="Q47" i="1"/>
  <c r="P47" i="1"/>
  <c r="J47" i="1"/>
  <c r="H47" i="1"/>
  <c r="U46" i="1"/>
  <c r="T46" i="1"/>
  <c r="P46" i="1"/>
  <c r="N46" i="1"/>
  <c r="Q46" i="1" s="1"/>
  <c r="I46" i="1"/>
  <c r="J46" i="1" s="1"/>
  <c r="H46" i="1"/>
  <c r="U45" i="1"/>
  <c r="T45" i="1"/>
  <c r="R45" i="1"/>
  <c r="Q45" i="1"/>
  <c r="P45" i="1"/>
  <c r="J45" i="1"/>
  <c r="H45" i="1"/>
  <c r="U44" i="1"/>
  <c r="T44" i="1"/>
  <c r="R44" i="1"/>
  <c r="Q44" i="1"/>
  <c r="P44" i="1"/>
  <c r="I44" i="1"/>
  <c r="J44" i="1" s="1"/>
  <c r="H44" i="1"/>
  <c r="U43" i="1"/>
  <c r="T43" i="1"/>
  <c r="R43" i="1"/>
  <c r="Q43" i="1"/>
  <c r="P43" i="1"/>
  <c r="I43" i="1"/>
  <c r="J43" i="1" s="1"/>
  <c r="H43" i="1"/>
  <c r="U42" i="1"/>
  <c r="T42" i="1"/>
  <c r="R42" i="1"/>
  <c r="Q42" i="1"/>
  <c r="P42" i="1"/>
  <c r="I42" i="1"/>
  <c r="J42" i="1" s="1"/>
  <c r="H42" i="1"/>
  <c r="U41" i="1"/>
  <c r="T41" i="1"/>
  <c r="R41" i="1"/>
  <c r="Q41" i="1"/>
  <c r="P41" i="1"/>
  <c r="I41" i="1"/>
  <c r="J41" i="1" s="1"/>
  <c r="H41" i="1"/>
  <c r="U40" i="1"/>
  <c r="T40" i="1"/>
  <c r="V40" i="1" s="1"/>
  <c r="R40" i="1"/>
  <c r="Q40" i="1"/>
  <c r="P40" i="1"/>
  <c r="I40" i="1"/>
  <c r="J40" i="1" s="1"/>
  <c r="H40" i="1"/>
  <c r="U39" i="1"/>
  <c r="T39" i="1"/>
  <c r="P39" i="1"/>
  <c r="N39" i="1"/>
  <c r="R39" i="1" s="1"/>
  <c r="I39" i="1"/>
  <c r="J39" i="1" s="1"/>
  <c r="H39" i="1"/>
  <c r="U38" i="1"/>
  <c r="T38" i="1"/>
  <c r="R38" i="1"/>
  <c r="Q38" i="1"/>
  <c r="P38" i="1"/>
  <c r="I38" i="1"/>
  <c r="J38" i="1" s="1"/>
  <c r="H38" i="1"/>
  <c r="U37" i="1"/>
  <c r="T37" i="1"/>
  <c r="R37" i="1"/>
  <c r="Q37" i="1"/>
  <c r="P37" i="1"/>
  <c r="I37" i="1"/>
  <c r="J37" i="1" s="1"/>
  <c r="H37" i="1"/>
  <c r="U36" i="1"/>
  <c r="T36" i="1"/>
  <c r="R36" i="1"/>
  <c r="Q36" i="1"/>
  <c r="P36" i="1"/>
  <c r="I36" i="1"/>
  <c r="J36" i="1" s="1"/>
  <c r="H36" i="1"/>
  <c r="U35" i="1"/>
  <c r="T35" i="1"/>
  <c r="R35" i="1"/>
  <c r="Q35" i="1"/>
  <c r="P35" i="1"/>
  <c r="I35" i="1"/>
  <c r="J35" i="1" s="1"/>
  <c r="H35" i="1"/>
  <c r="U34" i="1"/>
  <c r="T34" i="1"/>
  <c r="R34" i="1"/>
  <c r="Q34" i="1"/>
  <c r="P34" i="1"/>
  <c r="J34" i="1"/>
  <c r="H34" i="1"/>
  <c r="U33" i="1"/>
  <c r="T33" i="1"/>
  <c r="R33" i="1"/>
  <c r="Q33" i="1"/>
  <c r="P33" i="1"/>
  <c r="I33" i="1"/>
  <c r="J33" i="1" s="1"/>
  <c r="H33" i="1"/>
  <c r="U32" i="1"/>
  <c r="T32" i="1"/>
  <c r="R32" i="1"/>
  <c r="Q32" i="1"/>
  <c r="P32" i="1"/>
  <c r="J32" i="1"/>
  <c r="H32" i="1"/>
  <c r="U31" i="1"/>
  <c r="T31" i="1"/>
  <c r="R31" i="1"/>
  <c r="Q31" i="1"/>
  <c r="P31" i="1"/>
  <c r="J31" i="1"/>
  <c r="H31" i="1"/>
  <c r="U30" i="1"/>
  <c r="T30" i="1"/>
  <c r="P30" i="1"/>
  <c r="N30" i="1"/>
  <c r="Q30" i="1" s="1"/>
  <c r="I30" i="1"/>
  <c r="J30" i="1" s="1"/>
  <c r="H30" i="1"/>
  <c r="U29" i="1"/>
  <c r="T29" i="1"/>
  <c r="R29" i="1"/>
  <c r="Q29" i="1"/>
  <c r="P29" i="1"/>
  <c r="I29" i="1"/>
  <c r="J29" i="1" s="1"/>
  <c r="H29" i="1"/>
  <c r="U28" i="1"/>
  <c r="T28" i="1"/>
  <c r="R28" i="1"/>
  <c r="Q28" i="1"/>
  <c r="S28" i="1" s="1"/>
  <c r="P28" i="1"/>
  <c r="I28" i="1"/>
  <c r="J28" i="1" s="1"/>
  <c r="H28" i="1"/>
  <c r="U27" i="1"/>
  <c r="T27" i="1"/>
  <c r="R27" i="1"/>
  <c r="Q27" i="1"/>
  <c r="P27" i="1"/>
  <c r="I27" i="1"/>
  <c r="J27" i="1" s="1"/>
  <c r="H27" i="1"/>
  <c r="U26" i="1"/>
  <c r="T26" i="1"/>
  <c r="V26" i="1" s="1"/>
  <c r="R26" i="1"/>
  <c r="Q26" i="1"/>
  <c r="P26" i="1"/>
  <c r="I26" i="1"/>
  <c r="J26" i="1" s="1"/>
  <c r="H26" i="1"/>
  <c r="U25" i="1"/>
  <c r="T25" i="1"/>
  <c r="P25" i="1"/>
  <c r="N25" i="1"/>
  <c r="R25" i="1" s="1"/>
  <c r="I25" i="1"/>
  <c r="J25" i="1" s="1"/>
  <c r="H25" i="1"/>
  <c r="U24" i="1"/>
  <c r="T24" i="1"/>
  <c r="P24" i="1"/>
  <c r="N24" i="1"/>
  <c r="Q24" i="1" s="1"/>
  <c r="I24" i="1"/>
  <c r="J24" i="1" s="1"/>
  <c r="H24" i="1"/>
  <c r="T23" i="1"/>
  <c r="R23" i="1"/>
  <c r="Q23" i="1"/>
  <c r="S23" i="1" s="1"/>
  <c r="P23" i="1"/>
  <c r="L23" i="1"/>
  <c r="U23" i="1" s="1"/>
  <c r="I23" i="1"/>
  <c r="J23" i="1" s="1"/>
  <c r="H23" i="1"/>
  <c r="U22" i="1"/>
  <c r="T22" i="1"/>
  <c r="R22" i="1"/>
  <c r="Q22" i="1"/>
  <c r="P22" i="1"/>
  <c r="I22" i="1"/>
  <c r="J22" i="1" s="1"/>
  <c r="H22" i="1"/>
  <c r="U21" i="1"/>
  <c r="T21" i="1"/>
  <c r="P21" i="1"/>
  <c r="N21" i="1"/>
  <c r="Q21" i="1" s="1"/>
  <c r="I21" i="1"/>
  <c r="J21" i="1" s="1"/>
  <c r="H21" i="1"/>
  <c r="U20" i="1"/>
  <c r="T20" i="1"/>
  <c r="R20" i="1"/>
  <c r="Q20" i="1"/>
  <c r="P20" i="1"/>
  <c r="I20" i="1"/>
  <c r="J20" i="1" s="1"/>
  <c r="H20" i="1"/>
  <c r="U19" i="1"/>
  <c r="T19" i="1"/>
  <c r="R19" i="1"/>
  <c r="Q19" i="1"/>
  <c r="P19" i="1"/>
  <c r="I19" i="1"/>
  <c r="J19" i="1" s="1"/>
  <c r="H19" i="1"/>
  <c r="U18" i="1"/>
  <c r="T18" i="1"/>
  <c r="R18" i="1"/>
  <c r="Q18" i="1"/>
  <c r="P18" i="1"/>
  <c r="I18" i="1"/>
  <c r="J18" i="1" s="1"/>
  <c r="H18" i="1"/>
  <c r="U17" i="1"/>
  <c r="T17" i="1"/>
  <c r="R17" i="1"/>
  <c r="Q17" i="1"/>
  <c r="P17" i="1"/>
  <c r="H17" i="1"/>
  <c r="U16" i="1"/>
  <c r="T16" i="1"/>
  <c r="R16" i="1"/>
  <c r="Q16" i="1"/>
  <c r="P16" i="1"/>
  <c r="H16" i="1"/>
  <c r="U15" i="1"/>
  <c r="T15" i="1"/>
  <c r="R15" i="1"/>
  <c r="Q15" i="1"/>
  <c r="P15" i="1"/>
  <c r="H15" i="1"/>
  <c r="U14" i="1"/>
  <c r="T14" i="1"/>
  <c r="R14" i="1"/>
  <c r="Q14" i="1"/>
  <c r="P14" i="1"/>
  <c r="H14" i="1"/>
  <c r="U13" i="1"/>
  <c r="T13" i="1"/>
  <c r="P13" i="1"/>
  <c r="N13" i="1"/>
  <c r="R13" i="1" s="1"/>
  <c r="H13" i="1"/>
  <c r="U12" i="1"/>
  <c r="T12" i="1"/>
  <c r="R12" i="1"/>
  <c r="Q12" i="1"/>
  <c r="P12" i="1"/>
  <c r="U11" i="1"/>
  <c r="T11" i="1"/>
  <c r="R11" i="1"/>
  <c r="Q11" i="1"/>
  <c r="P11" i="1"/>
  <c r="I11" i="1"/>
  <c r="J11" i="1" s="1"/>
  <c r="H11" i="1"/>
  <c r="V11" i="1" l="1"/>
  <c r="V22" i="1"/>
  <c r="T70" i="3"/>
  <c r="P70" i="3"/>
  <c r="U70" i="3"/>
  <c r="R70" i="3"/>
  <c r="V29" i="1"/>
  <c r="S37" i="1"/>
  <c r="S73" i="1"/>
  <c r="V12" i="1"/>
  <c r="V18" i="1"/>
  <c r="V24" i="1"/>
  <c r="S29" i="1"/>
  <c r="V49" i="1"/>
  <c r="V61" i="1"/>
  <c r="S67" i="1"/>
  <c r="V69" i="1"/>
  <c r="V72" i="1"/>
  <c r="S18" i="1"/>
  <c r="V20" i="1"/>
  <c r="V33" i="1"/>
  <c r="V39" i="1"/>
  <c r="V43" i="1"/>
  <c r="S48" i="1"/>
  <c r="S53" i="1"/>
  <c r="S56" i="1"/>
  <c r="V58" i="1"/>
  <c r="S60" i="1"/>
  <c r="S72" i="1"/>
  <c r="V14" i="1"/>
  <c r="R21" i="1"/>
  <c r="S21" i="1" s="1"/>
  <c r="Q25" i="1"/>
  <c r="S25" i="1" s="1"/>
  <c r="V47" i="1"/>
  <c r="S66" i="1"/>
  <c r="S62" i="3"/>
  <c r="R24" i="1"/>
  <c r="V25" i="1"/>
  <c r="S31" i="1"/>
  <c r="V34" i="1"/>
  <c r="S36" i="1"/>
  <c r="S40" i="1"/>
  <c r="V41" i="1"/>
  <c r="S43" i="1"/>
  <c r="S47" i="1"/>
  <c r="S51" i="1"/>
  <c r="T62" i="1"/>
  <c r="V62" i="3"/>
  <c r="V73" i="1"/>
  <c r="S15" i="1"/>
  <c r="V16" i="1"/>
  <c r="S20" i="1"/>
  <c r="V21" i="1"/>
  <c r="S27" i="1"/>
  <c r="V30" i="1"/>
  <c r="S32" i="1"/>
  <c r="V53" i="1"/>
  <c r="U62" i="1"/>
  <c r="V67" i="1"/>
  <c r="S26" i="1"/>
  <c r="S42" i="1"/>
  <c r="V45" i="1"/>
  <c r="V55" i="1"/>
  <c r="V57" i="1"/>
  <c r="S59" i="1"/>
  <c r="S14" i="1"/>
  <c r="V15" i="1"/>
  <c r="S16" i="1"/>
  <c r="V17" i="1"/>
  <c r="V19" i="1"/>
  <c r="S35" i="1"/>
  <c r="S45" i="1"/>
  <c r="V52" i="1"/>
  <c r="V54" i="1"/>
  <c r="V56" i="1"/>
  <c r="S64" i="1"/>
  <c r="S65" i="1"/>
  <c r="V68" i="1"/>
  <c r="V70" i="1"/>
  <c r="V13" i="1"/>
  <c r="S38" i="1"/>
  <c r="S41" i="1"/>
  <c r="S44" i="1"/>
  <c r="R46" i="1"/>
  <c r="S46" i="1" s="1"/>
  <c r="S50" i="1"/>
  <c r="V51" i="1"/>
  <c r="V63" i="1"/>
  <c r="V66" i="1"/>
  <c r="S71" i="1"/>
  <c r="S11" i="1"/>
  <c r="S17" i="1"/>
  <c r="V27" i="1"/>
  <c r="R30" i="1"/>
  <c r="S30" i="1" s="1"/>
  <c r="V32" i="1"/>
  <c r="V35" i="1"/>
  <c r="V36" i="1"/>
  <c r="Q39" i="1"/>
  <c r="S39" i="1" s="1"/>
  <c r="V44" i="1"/>
  <c r="V46" i="1"/>
  <c r="V48" i="1"/>
  <c r="S52" i="1"/>
  <c r="S54" i="1"/>
  <c r="S55" i="1"/>
  <c r="S57" i="1"/>
  <c r="S58" i="1"/>
  <c r="H62" i="1"/>
  <c r="P62" i="1"/>
  <c r="V65" i="1"/>
  <c r="S68" i="1"/>
  <c r="S69" i="1"/>
  <c r="S70" i="1"/>
  <c r="S12" i="1"/>
  <c r="Q13" i="1"/>
  <c r="S13" i="1" s="1"/>
  <c r="S19" i="1"/>
  <c r="S22" i="1"/>
  <c r="S24" i="1"/>
  <c r="V28" i="1"/>
  <c r="V31" i="1"/>
  <c r="S33" i="1"/>
  <c r="S34" i="1"/>
  <c r="V37" i="1"/>
  <c r="V38" i="1"/>
  <c r="V42" i="1"/>
  <c r="V50" i="1"/>
  <c r="V59" i="1"/>
  <c r="V60" i="1"/>
  <c r="R62" i="1"/>
  <c r="S63" i="1"/>
  <c r="V71" i="1"/>
  <c r="V23" i="1"/>
  <c r="Q62" i="1"/>
  <c r="V70" i="3" l="1"/>
  <c r="S70" i="3"/>
  <c r="V62" i="1"/>
  <c r="S6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23" authorId="0" shapeId="0" xr:uid="{11ED2293-EC83-48B7-8381-8F8FAAA3D0FA}">
      <text>
        <r>
          <rPr>
            <b/>
            <sz val="9"/>
            <color indexed="81"/>
            <rFont val="MS P ゴシック"/>
            <family val="3"/>
            <charset val="128"/>
          </rPr>
          <t>買取サイトのざっくりとした換金率</t>
        </r>
      </text>
    </comment>
    <comment ref="N25" authorId="0" shapeId="0" xr:uid="{083FB126-FF4F-4603-BD2B-20A30D046496}">
      <text>
        <r>
          <rPr>
            <sz val="9"/>
            <color indexed="81"/>
            <rFont val="MS P ゴシック"/>
            <family val="3"/>
            <charset val="128"/>
          </rPr>
          <t xml:space="preserve">大人2名、子供2名
</t>
        </r>
      </text>
    </comment>
    <comment ref="N39" authorId="0" shapeId="0" xr:uid="{92288F46-BE98-4BDB-A35C-ADD0A3465678}">
      <text>
        <r>
          <rPr>
            <b/>
            <sz val="9"/>
            <color indexed="81"/>
            <rFont val="MS P ゴシック"/>
            <family val="3"/>
            <charset val="128"/>
          </rPr>
          <t>楽天で12本1980円から算出</t>
        </r>
      </text>
    </comment>
    <comment ref="G62" authorId="0" shapeId="0" xr:uid="{AE6EA3F7-51FB-4295-9DB7-89D8A2616F23}">
      <text>
        <r>
          <rPr>
            <b/>
            <sz val="9"/>
            <color indexed="81"/>
            <rFont val="MS P ゴシック"/>
            <family val="3"/>
            <charset val="128"/>
          </rPr>
          <t>12/E分割前提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23" authorId="0" shapeId="0" xr:uid="{9F503BB8-E65D-4CAF-9415-3902048EB0A9}">
      <text>
        <r>
          <rPr>
            <b/>
            <sz val="9"/>
            <color indexed="81"/>
            <rFont val="MS P ゴシック"/>
            <family val="3"/>
            <charset val="128"/>
          </rPr>
          <t>買取サイトのざっくりとした換金率</t>
        </r>
      </text>
    </comment>
    <comment ref="N25" authorId="0" shapeId="0" xr:uid="{04A1790F-5C41-4C00-A9E8-4C17A046A6A5}">
      <text>
        <r>
          <rPr>
            <sz val="9"/>
            <color indexed="81"/>
            <rFont val="MS P ゴシック"/>
            <family val="3"/>
            <charset val="128"/>
          </rPr>
          <t xml:space="preserve">大人2名、子供2名
</t>
        </r>
      </text>
    </comment>
    <comment ref="N39" authorId="0" shapeId="0" xr:uid="{7417DDD6-9260-4D71-835D-F5E7A695017F}">
      <text>
        <r>
          <rPr>
            <b/>
            <sz val="9"/>
            <color indexed="81"/>
            <rFont val="MS P ゴシック"/>
            <family val="3"/>
            <charset val="128"/>
          </rPr>
          <t>楽天で12本1980円から算出</t>
        </r>
      </text>
    </comment>
    <comment ref="G62" authorId="0" shapeId="0" xr:uid="{CF489F94-9F5B-46FE-BD4D-F6F30E92708D}">
      <text>
        <r>
          <rPr>
            <b/>
            <sz val="9"/>
            <color indexed="81"/>
            <rFont val="MS P ゴシック"/>
            <family val="3"/>
            <charset val="128"/>
          </rPr>
          <t>12/E分割前提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<sst xmlns="http://schemas.openxmlformats.org/spreadsheetml/2006/main" count="671" uniqueCount="310">
  <si>
    <t>記事紹介持</t>
    <rPh sb="0" eb="2">
      <t>キジ</t>
    </rPh>
    <rPh sb="2" eb="4">
      <t>ショウカイ</t>
    </rPh>
    <rPh sb="4" eb="5">
      <t>ジ</t>
    </rPh>
    <phoneticPr fontId="4"/>
  </si>
  <si>
    <t>　・対象者</t>
    <rPh sb="2" eb="5">
      <t>タイショウシャ</t>
    </rPh>
    <phoneticPr fontId="4"/>
  </si>
  <si>
    <t>資産株の要諦</t>
    <rPh sb="0" eb="2">
      <t>シサン</t>
    </rPh>
    <rPh sb="2" eb="3">
      <t>カブ</t>
    </rPh>
    <rPh sb="4" eb="6">
      <t>ヨウテイ</t>
    </rPh>
    <phoneticPr fontId="4"/>
  </si>
  <si>
    <t>　・事業概要</t>
    <rPh sb="2" eb="4">
      <t>ジギョウ</t>
    </rPh>
    <rPh sb="4" eb="6">
      <t>ガイヨウ</t>
    </rPh>
    <phoneticPr fontId="4"/>
  </si>
  <si>
    <t>：明日買う</t>
    <rPh sb="1" eb="3">
      <t>アシタ</t>
    </rPh>
    <rPh sb="3" eb="4">
      <t>カ</t>
    </rPh>
    <phoneticPr fontId="4"/>
  </si>
  <si>
    <t>　・長期で安定した利回りを享受できる事</t>
    <rPh sb="2" eb="4">
      <t>チョウキ</t>
    </rPh>
    <rPh sb="5" eb="7">
      <t>アンテイ</t>
    </rPh>
    <rPh sb="9" eb="11">
      <t>リマワ</t>
    </rPh>
    <rPh sb="13" eb="15">
      <t>キョウジュ</t>
    </rPh>
    <rPh sb="18" eb="19">
      <t>コト</t>
    </rPh>
    <phoneticPr fontId="4"/>
  </si>
  <si>
    <t>　・業績推移</t>
    <rPh sb="2" eb="4">
      <t>ギョウセキ</t>
    </rPh>
    <rPh sb="4" eb="6">
      <t>スイイ</t>
    </rPh>
    <phoneticPr fontId="4"/>
  </si>
  <si>
    <t>：あさって買う</t>
    <rPh sb="5" eb="6">
      <t>カ</t>
    </rPh>
    <phoneticPr fontId="4"/>
  </si>
  <si>
    <t>　　・ディフェンス(赤字Must)</t>
    <rPh sb="10" eb="12">
      <t>アカジ</t>
    </rPh>
    <phoneticPr fontId="4"/>
  </si>
  <si>
    <t>・オフェンス</t>
    <phoneticPr fontId="4"/>
  </si>
  <si>
    <t>損切りライン</t>
    <rPh sb="0" eb="2">
      <t>ソンギ</t>
    </rPh>
    <phoneticPr fontId="4"/>
  </si>
  <si>
    <t>　・配当金、自社株買い推移</t>
    <rPh sb="2" eb="4">
      <t>ハイトウ</t>
    </rPh>
    <rPh sb="4" eb="5">
      <t>キン</t>
    </rPh>
    <rPh sb="6" eb="8">
      <t>ジシャ</t>
    </rPh>
    <rPh sb="8" eb="9">
      <t>カブ</t>
    </rPh>
    <rPh sb="9" eb="10">
      <t>カ</t>
    </rPh>
    <rPh sb="11" eb="13">
      <t>スイイ</t>
    </rPh>
    <phoneticPr fontId="4"/>
  </si>
  <si>
    <t>：ジュニアで買う</t>
    <rPh sb="6" eb="7">
      <t>カ</t>
    </rPh>
    <phoneticPr fontId="4"/>
  </si>
  <si>
    <t>　　　・好財務である(剰余金が有利子負債の2倍以上)</t>
    <rPh sb="4" eb="5">
      <t>コウ</t>
    </rPh>
    <rPh sb="5" eb="7">
      <t>ザイム</t>
    </rPh>
    <rPh sb="11" eb="14">
      <t>ジョウヨキン</t>
    </rPh>
    <rPh sb="15" eb="16">
      <t>ユウ</t>
    </rPh>
    <rPh sb="16" eb="18">
      <t>リシ</t>
    </rPh>
    <rPh sb="18" eb="20">
      <t>フサイ</t>
    </rPh>
    <rPh sb="22" eb="23">
      <t>バイ</t>
    </rPh>
    <rPh sb="23" eb="25">
      <t>イジョウ</t>
    </rPh>
    <phoneticPr fontId="4"/>
  </si>
  <si>
    <t>　・自社株買い実施</t>
    <rPh sb="2" eb="4">
      <t>ジシャ</t>
    </rPh>
    <rPh sb="4" eb="5">
      <t>カブ</t>
    </rPh>
    <rPh sb="5" eb="6">
      <t>カ</t>
    </rPh>
    <rPh sb="7" eb="9">
      <t>ジッシ</t>
    </rPh>
    <phoneticPr fontId="4"/>
  </si>
  <si>
    <t>　・総合利回り下回る</t>
    <rPh sb="2" eb="4">
      <t>ソウゴウ</t>
    </rPh>
    <rPh sb="4" eb="6">
      <t>リマワ</t>
    </rPh>
    <rPh sb="7" eb="9">
      <t>シタマワ</t>
    </rPh>
    <phoneticPr fontId="4"/>
  </si>
  <si>
    <t>　・財務内容</t>
    <rPh sb="2" eb="4">
      <t>ザイム</t>
    </rPh>
    <rPh sb="4" eb="6">
      <t>ナイヨウ</t>
    </rPh>
    <phoneticPr fontId="4"/>
  </si>
  <si>
    <t>　　　・過去の減配が緩やか(10～15%)、実質累進配当を実施している</t>
    <rPh sb="4" eb="6">
      <t>カコ</t>
    </rPh>
    <rPh sb="7" eb="9">
      <t>ゲンパイ</t>
    </rPh>
    <rPh sb="10" eb="11">
      <t>ユル</t>
    </rPh>
    <rPh sb="22" eb="24">
      <t>ジッシツ</t>
    </rPh>
    <rPh sb="24" eb="26">
      <t>ルイシン</t>
    </rPh>
    <rPh sb="26" eb="28">
      <t>ハイトウ</t>
    </rPh>
    <rPh sb="29" eb="31">
      <t>ジッシ</t>
    </rPh>
    <phoneticPr fontId="4"/>
  </si>
  <si>
    <t>　・業績が伸びている</t>
    <rPh sb="2" eb="4">
      <t>ギョウセキ</t>
    </rPh>
    <rPh sb="5" eb="6">
      <t>ノ</t>
    </rPh>
    <phoneticPr fontId="4"/>
  </si>
  <si>
    <t>　・過去高値指標を上回った時</t>
    <rPh sb="2" eb="4">
      <t>カコ</t>
    </rPh>
    <rPh sb="4" eb="6">
      <t>タカネ</t>
    </rPh>
    <rPh sb="6" eb="8">
      <t>シヒョウ</t>
    </rPh>
    <rPh sb="9" eb="11">
      <t>ウワマワ</t>
    </rPh>
    <rPh sb="13" eb="14">
      <t>トキ</t>
    </rPh>
    <phoneticPr fontId="4"/>
  </si>
  <si>
    <t>　・総合利回り</t>
    <rPh sb="2" eb="4">
      <t>ソウゴウ</t>
    </rPh>
    <rPh sb="4" eb="6">
      <t>リマワ</t>
    </rPh>
    <phoneticPr fontId="4"/>
  </si>
  <si>
    <t>　　　・業績黒字で安定している、株主資本・営業CF・現金が増え続けている</t>
    <rPh sb="4" eb="6">
      <t>ギョウセキ</t>
    </rPh>
    <rPh sb="6" eb="8">
      <t>クロジ</t>
    </rPh>
    <rPh sb="9" eb="11">
      <t>アンテイ</t>
    </rPh>
    <rPh sb="16" eb="18">
      <t>カブヌシ</t>
    </rPh>
    <rPh sb="18" eb="20">
      <t>シホン</t>
    </rPh>
    <rPh sb="21" eb="23">
      <t>エイギョウ</t>
    </rPh>
    <rPh sb="26" eb="28">
      <t>ゲンキン</t>
    </rPh>
    <rPh sb="29" eb="30">
      <t>フ</t>
    </rPh>
    <rPh sb="31" eb="32">
      <t>ツヅ</t>
    </rPh>
    <phoneticPr fontId="4"/>
  </si>
  <si>
    <t>　・業界最大手、シェアトップの事業がある</t>
    <rPh sb="2" eb="4">
      <t>ギョウカイ</t>
    </rPh>
    <rPh sb="4" eb="7">
      <t>サイオオテ</t>
    </rPh>
    <rPh sb="15" eb="17">
      <t>ジギョウ</t>
    </rPh>
    <phoneticPr fontId="4"/>
  </si>
  <si>
    <t>　　　・過去数年分の配当性向が低い</t>
    <rPh sb="4" eb="6">
      <t>カコ</t>
    </rPh>
    <rPh sb="6" eb="8">
      <t>スウネン</t>
    </rPh>
    <rPh sb="8" eb="9">
      <t>ブン</t>
    </rPh>
    <rPh sb="10" eb="12">
      <t>ハイトウ</t>
    </rPh>
    <rPh sb="12" eb="14">
      <t>セイコウ</t>
    </rPh>
    <rPh sb="15" eb="16">
      <t>ヒク</t>
    </rPh>
    <phoneticPr fontId="4"/>
  </si>
  <si>
    <t>・時価総額　&lt;　現金同等物　である</t>
    <rPh sb="1" eb="3">
      <t>ジカ</t>
    </rPh>
    <rPh sb="3" eb="5">
      <t>ソウガク</t>
    </rPh>
    <rPh sb="8" eb="10">
      <t>ゲンキン</t>
    </rPh>
    <rPh sb="10" eb="12">
      <t>ドウトウ</t>
    </rPh>
    <rPh sb="12" eb="13">
      <t>ブツ</t>
    </rPh>
    <phoneticPr fontId="4"/>
  </si>
  <si>
    <t>コード</t>
    <phoneticPr fontId="4"/>
  </si>
  <si>
    <t>企業名</t>
    <rPh sb="0" eb="2">
      <t>キギョウ</t>
    </rPh>
    <rPh sb="2" eb="3">
      <t>メイ</t>
    </rPh>
    <phoneticPr fontId="4"/>
  </si>
  <si>
    <t>業種</t>
    <rPh sb="0" eb="2">
      <t>ギョウシュ</t>
    </rPh>
    <phoneticPr fontId="4"/>
  </si>
  <si>
    <t>投資株数
(株）</t>
    <rPh sb="0" eb="2">
      <t>トウシ</t>
    </rPh>
    <rPh sb="2" eb="3">
      <t>カブ</t>
    </rPh>
    <rPh sb="3" eb="4">
      <t>スウ</t>
    </rPh>
    <rPh sb="6" eb="7">
      <t>カブ</t>
    </rPh>
    <phoneticPr fontId="4"/>
  </si>
  <si>
    <t>最高利回
投資金額
(円)</t>
    <rPh sb="0" eb="2">
      <t>サイコウ</t>
    </rPh>
    <rPh sb="2" eb="4">
      <t>リマワ</t>
    </rPh>
    <rPh sb="5" eb="7">
      <t>トウシ</t>
    </rPh>
    <rPh sb="7" eb="9">
      <t>キンガク</t>
    </rPh>
    <rPh sb="11" eb="12">
      <t>エン</t>
    </rPh>
    <phoneticPr fontId="4"/>
  </si>
  <si>
    <t>過去3年
1株益(円)</t>
    <rPh sb="0" eb="2">
      <t>カコ</t>
    </rPh>
    <rPh sb="3" eb="4">
      <t>ネン</t>
    </rPh>
    <rPh sb="6" eb="7">
      <t>カブ</t>
    </rPh>
    <rPh sb="7" eb="8">
      <t>エキ</t>
    </rPh>
    <rPh sb="9" eb="10">
      <t>エン</t>
    </rPh>
    <phoneticPr fontId="4"/>
  </si>
  <si>
    <t>1株利益予
(1株:円)</t>
    <rPh sb="1" eb="2">
      <t>カブ</t>
    </rPh>
    <rPh sb="2" eb="4">
      <t>リエキ</t>
    </rPh>
    <rPh sb="3" eb="4">
      <t>エキ</t>
    </rPh>
    <rPh sb="4" eb="5">
      <t>ヨ</t>
    </rPh>
    <rPh sb="8" eb="9">
      <t>カブ</t>
    </rPh>
    <rPh sb="10" eb="11">
      <t>エン</t>
    </rPh>
    <phoneticPr fontId="4"/>
  </si>
  <si>
    <t>1株純資産
(1株:円)</t>
    <rPh sb="1" eb="2">
      <t>カブ</t>
    </rPh>
    <rPh sb="2" eb="3">
      <t>ジュン</t>
    </rPh>
    <rPh sb="3" eb="5">
      <t>シサン</t>
    </rPh>
    <rPh sb="8" eb="9">
      <t>カブ</t>
    </rPh>
    <rPh sb="10" eb="11">
      <t>エン</t>
    </rPh>
    <phoneticPr fontId="4"/>
  </si>
  <si>
    <t>1株配予
(円)</t>
    <rPh sb="1" eb="2">
      <t>カブ</t>
    </rPh>
    <rPh sb="2" eb="3">
      <t>ハイ</t>
    </rPh>
    <rPh sb="3" eb="4">
      <t>ヨ</t>
    </rPh>
    <rPh sb="6" eb="7">
      <t>エン</t>
    </rPh>
    <phoneticPr fontId="4"/>
  </si>
  <si>
    <t>優待金
(円)</t>
    <rPh sb="0" eb="2">
      <t>ユウタイ</t>
    </rPh>
    <rPh sb="2" eb="3">
      <t>キン</t>
    </rPh>
    <rPh sb="5" eb="6">
      <t>エン</t>
    </rPh>
    <phoneticPr fontId="4"/>
  </si>
  <si>
    <t>優待内容</t>
    <rPh sb="0" eb="2">
      <t>ユウタイ</t>
    </rPh>
    <rPh sb="2" eb="4">
      <t>ナイヨウ</t>
    </rPh>
    <phoneticPr fontId="4"/>
  </si>
  <si>
    <t>配当利回
(%)</t>
    <rPh sb="0" eb="2">
      <t>ハイトウ</t>
    </rPh>
    <rPh sb="2" eb="4">
      <t>リマワ</t>
    </rPh>
    <phoneticPr fontId="4"/>
  </si>
  <si>
    <t>優待利回
(%)</t>
    <rPh sb="0" eb="2">
      <t>ユウタイ</t>
    </rPh>
    <rPh sb="2" eb="4">
      <t>リマワ</t>
    </rPh>
    <phoneticPr fontId="4"/>
  </si>
  <si>
    <t>総合利回
(%)</t>
    <rPh sb="0" eb="2">
      <t>ソウゴウ</t>
    </rPh>
    <rPh sb="2" eb="4">
      <t>リマワ</t>
    </rPh>
    <phoneticPr fontId="4"/>
  </si>
  <si>
    <t>優待割合
(%)</t>
    <rPh sb="0" eb="2">
      <t>ユウタイ</t>
    </rPh>
    <rPh sb="2" eb="4">
      <t>ワリアイ</t>
    </rPh>
    <phoneticPr fontId="4"/>
  </si>
  <si>
    <t>PER
(倍)</t>
    <rPh sb="5" eb="6">
      <t>バイ</t>
    </rPh>
    <phoneticPr fontId="4"/>
  </si>
  <si>
    <t>PBR
(倍)</t>
    <rPh sb="5" eb="6">
      <t>バイ</t>
    </rPh>
    <phoneticPr fontId="4"/>
  </si>
  <si>
    <t>ミックス
係数</t>
    <rPh sb="5" eb="7">
      <t>ケイスウ</t>
    </rPh>
    <phoneticPr fontId="4"/>
  </si>
  <si>
    <t>コメント
特徴、メリット、リスクなど</t>
    <rPh sb="5" eb="7">
      <t>トクチョウ</t>
    </rPh>
    <phoneticPr fontId="4"/>
  </si>
  <si>
    <t>1430s</t>
  </si>
  <si>
    <t>ファーストコーポレーション</t>
    <phoneticPr fontId="4"/>
  </si>
  <si>
    <t>不動産</t>
    <rPh sb="0" eb="3">
      <t>フドウサン</t>
    </rPh>
    <phoneticPr fontId="4"/>
  </si>
  <si>
    <t>クオカード</t>
    <phoneticPr fontId="4"/>
  </si>
  <si>
    <t>右肩下がりチャート、好財務。減益予想。</t>
    <rPh sb="0" eb="2">
      <t>ミギカタ</t>
    </rPh>
    <rPh sb="2" eb="3">
      <t>サ</t>
    </rPh>
    <rPh sb="10" eb="11">
      <t>コウ</t>
    </rPh>
    <rPh sb="11" eb="13">
      <t>ザイム</t>
    </rPh>
    <rPh sb="14" eb="16">
      <t>ゲンエキ</t>
    </rPh>
    <rPh sb="16" eb="18">
      <t>ヨソウ</t>
    </rPh>
    <phoneticPr fontId="4"/>
  </si>
  <si>
    <t>1438s</t>
    <phoneticPr fontId="4"/>
  </si>
  <si>
    <t>造園業で唯一上場の業界大手</t>
    <rPh sb="0" eb="2">
      <t>ゾウエン</t>
    </rPh>
    <rPh sb="2" eb="3">
      <t>ギョウ</t>
    </rPh>
    <rPh sb="4" eb="6">
      <t>ユイイツ</t>
    </rPh>
    <rPh sb="6" eb="8">
      <t>ジョウジョウ</t>
    </rPh>
    <rPh sb="9" eb="11">
      <t>ギョウカイ</t>
    </rPh>
    <rPh sb="11" eb="13">
      <t>オオテ</t>
    </rPh>
    <phoneticPr fontId="4"/>
  </si>
  <si>
    <t>1762s</t>
  </si>
  <si>
    <t>米5kg(魚沼ｺｼﾋｶﾘ)</t>
    <rPh sb="0" eb="1">
      <t>コメ</t>
    </rPh>
    <rPh sb="5" eb="7">
      <t>ウオヌマ</t>
    </rPh>
    <phoneticPr fontId="4"/>
  </si>
  <si>
    <t>500株5年以上で10kgへ。買収積極的。好財務</t>
    <rPh sb="3" eb="4">
      <t>カブ</t>
    </rPh>
    <rPh sb="5" eb="6">
      <t>ネン</t>
    </rPh>
    <rPh sb="6" eb="8">
      <t>イジョウ</t>
    </rPh>
    <rPh sb="15" eb="17">
      <t>バイシュウ</t>
    </rPh>
    <rPh sb="17" eb="20">
      <t>セッキョクテキ</t>
    </rPh>
    <rPh sb="21" eb="22">
      <t>コウ</t>
    </rPh>
    <rPh sb="22" eb="24">
      <t>ザイム</t>
    </rPh>
    <phoneticPr fontId="4"/>
  </si>
  <si>
    <t>1925s</t>
  </si>
  <si>
    <t>2599os</t>
  </si>
  <si>
    <t>2722s</t>
  </si>
  <si>
    <t>2753s</t>
  </si>
  <si>
    <t>3023s</t>
    <phoneticPr fontId="4"/>
  </si>
  <si>
    <t>ラサ商事</t>
    <rPh sb="2" eb="4">
      <t>ショウジ</t>
    </rPh>
    <phoneticPr fontId="4"/>
  </si>
  <si>
    <t>卸売業</t>
    <rPh sb="0" eb="1">
      <t>オロシ</t>
    </rPh>
    <rPh sb="1" eb="2">
      <t>ウ</t>
    </rPh>
    <rPh sb="2" eb="3">
      <t>ギョウ</t>
    </rPh>
    <phoneticPr fontId="4"/>
  </si>
  <si>
    <t>4期連続増益増配中。ジルコン鉱物取引首位</t>
    <rPh sb="1" eb="2">
      <t>キ</t>
    </rPh>
    <rPh sb="2" eb="4">
      <t>レンゾク</t>
    </rPh>
    <rPh sb="4" eb="6">
      <t>ゾウエキ</t>
    </rPh>
    <rPh sb="6" eb="8">
      <t>ゾウハイ</t>
    </rPh>
    <rPh sb="8" eb="9">
      <t>チュウ</t>
    </rPh>
    <rPh sb="14" eb="16">
      <t>コウブツ</t>
    </rPh>
    <rPh sb="16" eb="18">
      <t>トリヒキ</t>
    </rPh>
    <rPh sb="18" eb="20">
      <t>シュイ</t>
    </rPh>
    <phoneticPr fontId="4"/>
  </si>
  <si>
    <t>ヤマダはネットで使えない</t>
    <rPh sb="8" eb="9">
      <t>ツカ</t>
    </rPh>
    <phoneticPr fontId="4"/>
  </si>
  <si>
    <t>3048s</t>
    <phoneticPr fontId="4"/>
  </si>
  <si>
    <t>ビックカメラ</t>
    <phoneticPr fontId="4"/>
  </si>
  <si>
    <t>小売業</t>
    <rPh sb="0" eb="2">
      <t>コウ</t>
    </rPh>
    <rPh sb="2" eb="3">
      <t>ギョウ</t>
    </rPh>
    <phoneticPr fontId="4"/>
  </si>
  <si>
    <t>買物券</t>
    <rPh sb="0" eb="2">
      <t>カイモノ</t>
    </rPh>
    <rPh sb="2" eb="3">
      <t>ケン</t>
    </rPh>
    <phoneticPr fontId="4"/>
  </si>
  <si>
    <t>優待券は使用制限なしで使い切りOK。ネットでも使える。</t>
    <rPh sb="0" eb="3">
      <t>ユウタイケン</t>
    </rPh>
    <rPh sb="4" eb="6">
      <t>シヨウ</t>
    </rPh>
    <rPh sb="6" eb="8">
      <t>セイゲン</t>
    </rPh>
    <rPh sb="11" eb="12">
      <t>ツカ</t>
    </rPh>
    <rPh sb="13" eb="14">
      <t>キ</t>
    </rPh>
    <rPh sb="23" eb="24">
      <t>ツカ</t>
    </rPh>
    <phoneticPr fontId="4"/>
  </si>
  <si>
    <t>https://tagutime.com/yamada-denki-shareholder-special-treatment-use/</t>
  </si>
  <si>
    <t>3071s</t>
  </si>
  <si>
    <t>ストリーム</t>
    <phoneticPr fontId="4"/>
  </si>
  <si>
    <t>通販買物券</t>
    <rPh sb="0" eb="2">
      <t>ツウハン</t>
    </rPh>
    <rPh sb="2" eb="4">
      <t>カイモノ</t>
    </rPh>
    <rPh sb="4" eb="5">
      <t>ケン</t>
    </rPh>
    <phoneticPr fontId="4"/>
  </si>
  <si>
    <t>複数口座保有で買物券を集めて使うのが吉</t>
    <rPh sb="0" eb="2">
      <t>フクスウ</t>
    </rPh>
    <rPh sb="2" eb="4">
      <t>コウザ</t>
    </rPh>
    <rPh sb="4" eb="6">
      <t>ホユウ</t>
    </rPh>
    <rPh sb="7" eb="9">
      <t>カイモノ</t>
    </rPh>
    <rPh sb="9" eb="10">
      <t>ケン</t>
    </rPh>
    <rPh sb="11" eb="12">
      <t>アツ</t>
    </rPh>
    <rPh sb="14" eb="15">
      <t>ツカ</t>
    </rPh>
    <rPh sb="18" eb="19">
      <t>キチ</t>
    </rPh>
    <phoneticPr fontId="4"/>
  </si>
  <si>
    <t>3077s</t>
    <phoneticPr fontId="4"/>
  </si>
  <si>
    <t>ホリイフードサービス</t>
    <phoneticPr fontId="4"/>
  </si>
  <si>
    <t>お米4kg</t>
    <rPh sb="1" eb="2">
      <t>コメ</t>
    </rPh>
    <phoneticPr fontId="4"/>
  </si>
  <si>
    <t>好財務だが下方修正予想。下方修正時に500円以下でい</t>
    <rPh sb="0" eb="1">
      <t>コウ</t>
    </rPh>
    <rPh sb="1" eb="3">
      <t>ザイム</t>
    </rPh>
    <rPh sb="5" eb="7">
      <t>カホウ</t>
    </rPh>
    <rPh sb="7" eb="9">
      <t>シュウセイ</t>
    </rPh>
    <rPh sb="9" eb="11">
      <t>ヨソウ</t>
    </rPh>
    <rPh sb="12" eb="14">
      <t>カホウ</t>
    </rPh>
    <rPh sb="14" eb="16">
      <t>シュウセイ</t>
    </rPh>
    <rPh sb="16" eb="17">
      <t>ジ</t>
    </rPh>
    <rPh sb="21" eb="22">
      <t>エン</t>
    </rPh>
    <rPh sb="22" eb="24">
      <t>イカ</t>
    </rPh>
    <phoneticPr fontId="4"/>
  </si>
  <si>
    <t>3168s</t>
  </si>
  <si>
    <t>黒谷</t>
    <rPh sb="0" eb="1">
      <t>クロ</t>
    </rPh>
    <rPh sb="1" eb="2">
      <t>タニ</t>
    </rPh>
    <phoneticPr fontId="4"/>
  </si>
  <si>
    <t>配当性向高め、業績不安定気味。単元は安いので100株のみが妥当</t>
    <rPh sb="0" eb="2">
      <t>ハイトウ</t>
    </rPh>
    <rPh sb="2" eb="4">
      <t>セイコウ</t>
    </rPh>
    <rPh sb="4" eb="5">
      <t>タカ</t>
    </rPh>
    <rPh sb="7" eb="9">
      <t>ギョウセキ</t>
    </rPh>
    <rPh sb="9" eb="12">
      <t>フアンテイ</t>
    </rPh>
    <rPh sb="12" eb="14">
      <t>ギミ</t>
    </rPh>
    <rPh sb="15" eb="17">
      <t>タンゲン</t>
    </rPh>
    <rPh sb="18" eb="19">
      <t>ヤス</t>
    </rPh>
    <rPh sb="25" eb="26">
      <t>カブ</t>
    </rPh>
    <rPh sb="29" eb="31">
      <t>ダトウ</t>
    </rPh>
    <phoneticPr fontId="4"/>
  </si>
  <si>
    <t>ANAP</t>
    <phoneticPr fontId="4"/>
  </si>
  <si>
    <t>小売業</t>
    <rPh sb="0" eb="3">
      <t>コウリギョウ</t>
    </rPh>
    <phoneticPr fontId="4"/>
  </si>
  <si>
    <t>Ituens
カード</t>
    <phoneticPr fontId="4"/>
  </si>
  <si>
    <t>事業構造の安定は？黒字は維持。Itunesカードはネット買取で換金率70%以上</t>
    <rPh sb="0" eb="2">
      <t>ジギョウ</t>
    </rPh>
    <rPh sb="2" eb="4">
      <t>コウゾウ</t>
    </rPh>
    <rPh sb="5" eb="7">
      <t>アンテイ</t>
    </rPh>
    <rPh sb="9" eb="11">
      <t>クロジ</t>
    </rPh>
    <rPh sb="12" eb="14">
      <t>イジ</t>
    </rPh>
    <rPh sb="28" eb="30">
      <t>カイトリ</t>
    </rPh>
    <rPh sb="31" eb="33">
      <t>カンキン</t>
    </rPh>
    <rPh sb="33" eb="34">
      <t>リツ</t>
    </rPh>
    <rPh sb="37" eb="39">
      <t>イジョウ</t>
    </rPh>
    <phoneticPr fontId="4"/>
  </si>
  <si>
    <t>3252s</t>
    <phoneticPr fontId="4"/>
  </si>
  <si>
    <t>日本商業開発</t>
    <rPh sb="0" eb="2">
      <t>ニホン</t>
    </rPh>
    <rPh sb="2" eb="4">
      <t>ショウギョウ</t>
    </rPh>
    <rPh sb="4" eb="6">
      <t>カイハツ</t>
    </rPh>
    <phoneticPr fontId="4"/>
  </si>
  <si>
    <t>ジェフグルメカード</t>
    <phoneticPr fontId="4"/>
  </si>
  <si>
    <t>テナント施設の土地取得と売却。売上増加。投資資金多め。100株1000円優待が望ましいところ。今期進捗率悪いので下方修正注意。</t>
    <rPh sb="4" eb="6">
      <t>シセツ</t>
    </rPh>
    <rPh sb="7" eb="9">
      <t>トチ</t>
    </rPh>
    <rPh sb="9" eb="11">
      <t>シュトク</t>
    </rPh>
    <rPh sb="12" eb="14">
      <t>バイキャク</t>
    </rPh>
    <rPh sb="15" eb="17">
      <t>ウリアゲ</t>
    </rPh>
    <rPh sb="17" eb="19">
      <t>ゾウカ</t>
    </rPh>
    <rPh sb="20" eb="22">
      <t>トウシ</t>
    </rPh>
    <rPh sb="22" eb="24">
      <t>シキン</t>
    </rPh>
    <rPh sb="24" eb="25">
      <t>オオ</t>
    </rPh>
    <rPh sb="30" eb="31">
      <t>カブ</t>
    </rPh>
    <rPh sb="35" eb="36">
      <t>エン</t>
    </rPh>
    <rPh sb="36" eb="38">
      <t>ユウタイ</t>
    </rPh>
    <rPh sb="39" eb="40">
      <t>ノゾ</t>
    </rPh>
    <rPh sb="47" eb="49">
      <t>コンキ</t>
    </rPh>
    <rPh sb="49" eb="51">
      <t>シンチョク</t>
    </rPh>
    <rPh sb="51" eb="52">
      <t>リツ</t>
    </rPh>
    <rPh sb="52" eb="53">
      <t>ワル</t>
    </rPh>
    <rPh sb="56" eb="58">
      <t>カホウ</t>
    </rPh>
    <rPh sb="58" eb="60">
      <t>シュウセイ</t>
    </rPh>
    <rPh sb="60" eb="62">
      <t>チュウイ</t>
    </rPh>
    <phoneticPr fontId="4"/>
  </si>
  <si>
    <t>3291s</t>
  </si>
  <si>
    <t>飯田グループHLD</t>
    <rPh sb="0" eb="2">
      <t>イイダ</t>
    </rPh>
    <phoneticPr fontId="4"/>
  </si>
  <si>
    <t>江の島アイランドスパ利用券</t>
    <rPh sb="0" eb="1">
      <t>エ</t>
    </rPh>
    <rPh sb="2" eb="3">
      <t>シマ</t>
    </rPh>
    <rPh sb="10" eb="12">
      <t>リヨウ</t>
    </rPh>
    <rPh sb="12" eb="13">
      <t>ケン</t>
    </rPh>
    <phoneticPr fontId="4"/>
  </si>
  <si>
    <t>神奈川や東京在住の人はおすすめ。パワービルダーの持ち株会社で全国シェア3割。業績安定黒字。優待は小学生以上からしか使えない。</t>
    <rPh sb="0" eb="3">
      <t>カナガワ</t>
    </rPh>
    <rPh sb="4" eb="6">
      <t>トウキョウ</t>
    </rPh>
    <rPh sb="6" eb="8">
      <t>ザイジュウ</t>
    </rPh>
    <rPh sb="9" eb="10">
      <t>ヒト</t>
    </rPh>
    <rPh sb="24" eb="25">
      <t>モ</t>
    </rPh>
    <rPh sb="26" eb="27">
      <t>カブ</t>
    </rPh>
    <rPh sb="27" eb="29">
      <t>カイシャ</t>
    </rPh>
    <rPh sb="30" eb="32">
      <t>ゼンコク</t>
    </rPh>
    <rPh sb="36" eb="37">
      <t>ワリ</t>
    </rPh>
    <rPh sb="38" eb="40">
      <t>ギョウセキ</t>
    </rPh>
    <rPh sb="40" eb="42">
      <t>アンテイ</t>
    </rPh>
    <rPh sb="42" eb="44">
      <t>クロジ</t>
    </rPh>
    <rPh sb="45" eb="47">
      <t>ユウタイ</t>
    </rPh>
    <rPh sb="48" eb="51">
      <t>ショウガクセイ</t>
    </rPh>
    <rPh sb="51" eb="53">
      <t>イジョウ</t>
    </rPh>
    <rPh sb="57" eb="58">
      <t>ツカ</t>
    </rPh>
    <phoneticPr fontId="4"/>
  </si>
  <si>
    <t>3299s</t>
  </si>
  <si>
    <t>ムゲンエステート</t>
    <phoneticPr fontId="4"/>
  </si>
  <si>
    <t>首都圏で中古不動産の買取と再生。業績悪化気味だが底打ち予想</t>
    <rPh sb="0" eb="3">
      <t>シュトケン</t>
    </rPh>
    <rPh sb="4" eb="6">
      <t>チュウコ</t>
    </rPh>
    <rPh sb="6" eb="9">
      <t>フドウサン</t>
    </rPh>
    <rPh sb="10" eb="12">
      <t>カイトリ</t>
    </rPh>
    <rPh sb="13" eb="15">
      <t>サイセイ</t>
    </rPh>
    <rPh sb="16" eb="18">
      <t>ギョウセキ</t>
    </rPh>
    <rPh sb="18" eb="20">
      <t>アッカ</t>
    </rPh>
    <rPh sb="20" eb="22">
      <t>ギミ</t>
    </rPh>
    <rPh sb="24" eb="25">
      <t>ソコ</t>
    </rPh>
    <rPh sb="25" eb="26">
      <t>ウ</t>
    </rPh>
    <rPh sb="27" eb="29">
      <t>ヨソウ</t>
    </rPh>
    <phoneticPr fontId="4"/>
  </si>
  <si>
    <t>3641s</t>
  </si>
  <si>
    <t>パピレス</t>
    <phoneticPr fontId="4"/>
  </si>
  <si>
    <t>通信</t>
    <rPh sb="0" eb="2">
      <t>ツウシン</t>
    </rPh>
    <phoneticPr fontId="4"/>
  </si>
  <si>
    <t>Rentaｻｲﾄ利用券</t>
    <rPh sb="8" eb="10">
      <t>リヨウ</t>
    </rPh>
    <rPh sb="10" eb="11">
      <t>ケン</t>
    </rPh>
    <phoneticPr fontId="4"/>
  </si>
  <si>
    <t>富士通社外ﾍﾞﾝﾁｬｰ出発。電子書籍Rentaを運営。無借金経営。</t>
    <rPh sb="0" eb="3">
      <t>フジツウ</t>
    </rPh>
    <rPh sb="3" eb="5">
      <t>シャガイ</t>
    </rPh>
    <rPh sb="11" eb="13">
      <t>シュッパツ</t>
    </rPh>
    <rPh sb="14" eb="16">
      <t>デンシ</t>
    </rPh>
    <rPh sb="16" eb="18">
      <t>ショセキ</t>
    </rPh>
    <rPh sb="24" eb="26">
      <t>ウンエイ</t>
    </rPh>
    <rPh sb="27" eb="28">
      <t>ム</t>
    </rPh>
    <rPh sb="28" eb="30">
      <t>シャッキン</t>
    </rPh>
    <rPh sb="30" eb="32">
      <t>ケイエイ</t>
    </rPh>
    <phoneticPr fontId="4"/>
  </si>
  <si>
    <t>4668s</t>
    <phoneticPr fontId="4"/>
  </si>
  <si>
    <t>明光ネットワークジャパン</t>
    <rPh sb="0" eb="2">
      <t>メイコウ</t>
    </rPh>
    <phoneticPr fontId="4"/>
  </si>
  <si>
    <t>サービス</t>
    <phoneticPr fontId="4"/>
  </si>
  <si>
    <t>個別指導塾、明光義塾をFC展開。好財務。配当性向100%近く、減配可能性有</t>
    <rPh sb="0" eb="2">
      <t>コベツ</t>
    </rPh>
    <rPh sb="2" eb="4">
      <t>シドウ</t>
    </rPh>
    <rPh sb="4" eb="5">
      <t>ジュク</t>
    </rPh>
    <rPh sb="6" eb="8">
      <t>メイコウ</t>
    </rPh>
    <rPh sb="8" eb="10">
      <t>ギジュク</t>
    </rPh>
    <rPh sb="13" eb="15">
      <t>テンカイ</t>
    </rPh>
    <rPh sb="16" eb="17">
      <t>コウ</t>
    </rPh>
    <rPh sb="17" eb="19">
      <t>ザイム</t>
    </rPh>
    <rPh sb="20" eb="22">
      <t>ハイトウ</t>
    </rPh>
    <rPh sb="22" eb="24">
      <t>セイコウ</t>
    </rPh>
    <rPh sb="28" eb="29">
      <t>チカ</t>
    </rPh>
    <rPh sb="31" eb="33">
      <t>ゲンパイ</t>
    </rPh>
    <rPh sb="33" eb="36">
      <t>カノウセイ</t>
    </rPh>
    <rPh sb="36" eb="37">
      <t>アリ</t>
    </rPh>
    <phoneticPr fontId="4"/>
  </si>
  <si>
    <t>4745s</t>
    <phoneticPr fontId="4"/>
  </si>
  <si>
    <t>東京個別指導学院</t>
    <rPh sb="0" eb="2">
      <t>トウキョウ</t>
    </rPh>
    <rPh sb="2" eb="4">
      <t>コベツ</t>
    </rPh>
    <rPh sb="4" eb="6">
      <t>シドウ</t>
    </rPh>
    <rPh sb="6" eb="8">
      <t>ガクイン</t>
    </rPh>
    <phoneticPr fontId="4"/>
  </si>
  <si>
    <t>図書カード</t>
    <rPh sb="0" eb="2">
      <t>トショ</t>
    </rPh>
    <phoneticPr fontId="4"/>
  </si>
  <si>
    <t>ベネッセHLD参加の小中学生向け塾。好財務だがPBR高い。(明光ネットもこの傾向)</t>
    <rPh sb="7" eb="9">
      <t>サンカ</t>
    </rPh>
    <rPh sb="10" eb="12">
      <t>ショウチュウ</t>
    </rPh>
    <rPh sb="12" eb="14">
      <t>ガクセイ</t>
    </rPh>
    <rPh sb="14" eb="15">
      <t>ム</t>
    </rPh>
    <rPh sb="16" eb="17">
      <t>ジュク</t>
    </rPh>
    <rPh sb="18" eb="19">
      <t>コウ</t>
    </rPh>
    <rPh sb="19" eb="21">
      <t>ザイム</t>
    </rPh>
    <rPh sb="26" eb="27">
      <t>タカ</t>
    </rPh>
    <rPh sb="30" eb="32">
      <t>メイコウ</t>
    </rPh>
    <rPh sb="38" eb="40">
      <t>ケイコウ</t>
    </rPh>
    <phoneticPr fontId="4"/>
  </si>
  <si>
    <t>4765s</t>
  </si>
  <si>
    <t>モーニングスター</t>
    <phoneticPr fontId="4"/>
  </si>
  <si>
    <t>株式新聞6カ月</t>
    <rPh sb="0" eb="2">
      <t>カブシキ</t>
    </rPh>
    <rPh sb="2" eb="4">
      <t>シンブン</t>
    </rPh>
    <rPh sb="6" eb="7">
      <t>ゲツ</t>
    </rPh>
    <phoneticPr fontId="4"/>
  </si>
  <si>
    <t>信託データ販売、投資運用、セミナー展開。株式新聞も。</t>
    <rPh sb="0" eb="2">
      <t>シンタク</t>
    </rPh>
    <rPh sb="5" eb="7">
      <t>ハンバイ</t>
    </rPh>
    <rPh sb="8" eb="10">
      <t>トウシ</t>
    </rPh>
    <rPh sb="10" eb="12">
      <t>ウンヨウ</t>
    </rPh>
    <rPh sb="17" eb="19">
      <t>テンカイ</t>
    </rPh>
    <rPh sb="20" eb="22">
      <t>カブシキ</t>
    </rPh>
    <rPh sb="22" eb="24">
      <t>シンブン</t>
    </rPh>
    <phoneticPr fontId="4"/>
  </si>
  <si>
    <t>4767s</t>
    <phoneticPr fontId="4"/>
  </si>
  <si>
    <t>4809s</t>
  </si>
  <si>
    <t>4977s</t>
  </si>
  <si>
    <t>新田ゼラチン</t>
    <rPh sb="0" eb="2">
      <t>ニッタ</t>
    </rPh>
    <phoneticPr fontId="4"/>
  </si>
  <si>
    <t>化学</t>
    <rPh sb="0" eb="2">
      <t>カガク</t>
    </rPh>
    <phoneticPr fontId="4"/>
  </si>
  <si>
    <t>自社健康食品</t>
    <rPh sb="0" eb="2">
      <t>ジシャ</t>
    </rPh>
    <rPh sb="2" eb="4">
      <t>ケンコウ</t>
    </rPh>
    <rPh sb="4" eb="6">
      <t>ショクヒン</t>
    </rPh>
    <phoneticPr fontId="4"/>
  </si>
  <si>
    <t>ゼラチン日本一！世界4位。中間決算通期進捗率75.5%。上方修正期待！</t>
    <rPh sb="4" eb="7">
      <t>ニホンイチ</t>
    </rPh>
    <rPh sb="8" eb="10">
      <t>セカイ</t>
    </rPh>
    <rPh sb="11" eb="12">
      <t>イ</t>
    </rPh>
    <rPh sb="13" eb="15">
      <t>チュウカン</t>
    </rPh>
    <rPh sb="15" eb="17">
      <t>ケッサン</t>
    </rPh>
    <rPh sb="17" eb="19">
      <t>ツウキ</t>
    </rPh>
    <rPh sb="19" eb="21">
      <t>シンチョク</t>
    </rPh>
    <rPh sb="21" eb="22">
      <t>リツ</t>
    </rPh>
    <rPh sb="28" eb="30">
      <t>ジョウホウ</t>
    </rPh>
    <rPh sb="30" eb="32">
      <t>シュウセイ</t>
    </rPh>
    <rPh sb="32" eb="34">
      <t>キタイ</t>
    </rPh>
    <phoneticPr fontId="4"/>
  </si>
  <si>
    <t>4979s</t>
  </si>
  <si>
    <t>5018s-</t>
  </si>
  <si>
    <t>MORESCO</t>
    <phoneticPr fontId="4"/>
  </si>
  <si>
    <t>石油</t>
    <rPh sb="0" eb="2">
      <t>セキユ</t>
    </rPh>
    <phoneticPr fontId="4"/>
  </si>
  <si>
    <t>高級お菓子詰め合わせ</t>
    <rPh sb="0" eb="2">
      <t>コウキュウ</t>
    </rPh>
    <rPh sb="3" eb="5">
      <t>カシ</t>
    </rPh>
    <rPh sb="5" eb="6">
      <t>ツ</t>
    </rPh>
    <rPh sb="7" eb="8">
      <t>ア</t>
    </rPh>
    <phoneticPr fontId="4"/>
  </si>
  <si>
    <t>独立化学系潤滑油メーカー。安定黒字だが、減益予想。21Fも。</t>
    <rPh sb="0" eb="2">
      <t>ドクリツ</t>
    </rPh>
    <rPh sb="2" eb="4">
      <t>カガク</t>
    </rPh>
    <rPh sb="4" eb="5">
      <t>ケイ</t>
    </rPh>
    <rPh sb="5" eb="8">
      <t>ジュンカツユ</t>
    </rPh>
    <rPh sb="13" eb="15">
      <t>アンテイ</t>
    </rPh>
    <rPh sb="15" eb="17">
      <t>クロジ</t>
    </rPh>
    <rPh sb="20" eb="22">
      <t>ゲンエキ</t>
    </rPh>
    <rPh sb="22" eb="24">
      <t>ヨソウ</t>
    </rPh>
    <phoneticPr fontId="4"/>
  </si>
  <si>
    <t>5301s</t>
    <phoneticPr fontId="4"/>
  </si>
  <si>
    <t>東海カーボン</t>
    <rPh sb="0" eb="2">
      <t>トウカイ</t>
    </rPh>
    <phoneticPr fontId="4"/>
  </si>
  <si>
    <t>土石</t>
    <rPh sb="0" eb="1">
      <t>ツチ</t>
    </rPh>
    <rPh sb="1" eb="2">
      <t>イシ</t>
    </rPh>
    <phoneticPr fontId="4"/>
  </si>
  <si>
    <t>カタログギフト</t>
    <phoneticPr fontId="4"/>
  </si>
  <si>
    <t>業績は悪化予想。配当半値になる可能性もあるが、業績を見ながら参入するといったところ</t>
    <rPh sb="0" eb="2">
      <t>ギョウセキ</t>
    </rPh>
    <rPh sb="3" eb="5">
      <t>アッカ</t>
    </rPh>
    <rPh sb="5" eb="7">
      <t>ヨソウ</t>
    </rPh>
    <rPh sb="8" eb="10">
      <t>ハイトウ</t>
    </rPh>
    <rPh sb="10" eb="12">
      <t>ハンネ</t>
    </rPh>
    <rPh sb="15" eb="18">
      <t>カノウセイ</t>
    </rPh>
    <rPh sb="23" eb="25">
      <t>ギョウセキ</t>
    </rPh>
    <rPh sb="26" eb="27">
      <t>ミ</t>
    </rPh>
    <rPh sb="30" eb="32">
      <t>サンニュウ</t>
    </rPh>
    <phoneticPr fontId="4"/>
  </si>
  <si>
    <t>5949s</t>
    <phoneticPr fontId="4"/>
  </si>
  <si>
    <t>ユニプレス</t>
    <phoneticPr fontId="4"/>
  </si>
  <si>
    <t>輸送用機器</t>
    <rPh sb="0" eb="3">
      <t>ユソウヨウ</t>
    </rPh>
    <rPh sb="3" eb="5">
      <t>キキ</t>
    </rPh>
    <phoneticPr fontId="4"/>
  </si>
  <si>
    <t>下方修正確実。だがプレス最大手。いずれ回復する。30年では長期増収増益の優良企業。好財務</t>
    <rPh sb="0" eb="2">
      <t>カホウ</t>
    </rPh>
    <rPh sb="2" eb="4">
      <t>シュウセイ</t>
    </rPh>
    <rPh sb="4" eb="6">
      <t>カクジツ</t>
    </rPh>
    <rPh sb="12" eb="15">
      <t>サイオオテ</t>
    </rPh>
    <rPh sb="19" eb="21">
      <t>カイフク</t>
    </rPh>
    <rPh sb="26" eb="27">
      <t>ネン</t>
    </rPh>
    <rPh sb="29" eb="31">
      <t>チョウキ</t>
    </rPh>
    <rPh sb="31" eb="33">
      <t>ゾウシュウ</t>
    </rPh>
    <rPh sb="33" eb="35">
      <t>ゾウエキ</t>
    </rPh>
    <rPh sb="36" eb="38">
      <t>ユウリョウ</t>
    </rPh>
    <rPh sb="38" eb="40">
      <t>キギョウ</t>
    </rPh>
    <rPh sb="41" eb="42">
      <t>コウ</t>
    </rPh>
    <rPh sb="42" eb="44">
      <t>ザイム</t>
    </rPh>
    <phoneticPr fontId="4"/>
  </si>
  <si>
    <t>https://job.rikunabi.com/2020/company/r710700017/blog/detail/89/</t>
  </si>
  <si>
    <t>5965s</t>
  </si>
  <si>
    <t>パウダーテック</t>
    <phoneticPr fontId="4"/>
  </si>
  <si>
    <t>金属製品</t>
    <rPh sb="0" eb="2">
      <t>キンゾク</t>
    </rPh>
    <rPh sb="2" eb="4">
      <t>セイヒン</t>
    </rPh>
    <phoneticPr fontId="4"/>
  </si>
  <si>
    <t>総合厨房機器メーカー。配当、優待は長く続けられる体力・業績</t>
    <rPh sb="0" eb="2">
      <t>ソウゴウ</t>
    </rPh>
    <rPh sb="2" eb="4">
      <t>チュウボウ</t>
    </rPh>
    <rPh sb="4" eb="6">
      <t>キキ</t>
    </rPh>
    <rPh sb="11" eb="13">
      <t>ハイトウ</t>
    </rPh>
    <rPh sb="14" eb="16">
      <t>ユウタイ</t>
    </rPh>
    <rPh sb="17" eb="18">
      <t>ナガ</t>
    </rPh>
    <rPh sb="19" eb="20">
      <t>ツヅ</t>
    </rPh>
    <rPh sb="24" eb="26">
      <t>タイリョク</t>
    </rPh>
    <rPh sb="27" eb="29">
      <t>ギョウセキ</t>
    </rPh>
    <phoneticPr fontId="4"/>
  </si>
  <si>
    <t>6087s</t>
  </si>
  <si>
    <t>アビスト</t>
    <phoneticPr fontId="4"/>
  </si>
  <si>
    <t>水素水500m×30本</t>
    <rPh sb="0" eb="2">
      <t>スイソ</t>
    </rPh>
    <rPh sb="2" eb="3">
      <t>スイ</t>
    </rPh>
    <rPh sb="10" eb="11">
      <t>ホン</t>
    </rPh>
    <phoneticPr fontId="4"/>
  </si>
  <si>
    <t>自動車の機械、機械部品の設計開発アウトソーシング。水素水製造販売も。</t>
    <rPh sb="0" eb="3">
      <t>ジドウシャ</t>
    </rPh>
    <rPh sb="4" eb="6">
      <t>キカイ</t>
    </rPh>
    <rPh sb="7" eb="9">
      <t>キカイ</t>
    </rPh>
    <rPh sb="9" eb="11">
      <t>ブヒン</t>
    </rPh>
    <rPh sb="12" eb="14">
      <t>セッケイ</t>
    </rPh>
    <rPh sb="14" eb="16">
      <t>カイハツ</t>
    </rPh>
    <rPh sb="25" eb="27">
      <t>スイソ</t>
    </rPh>
    <rPh sb="27" eb="28">
      <t>スイ</t>
    </rPh>
    <rPh sb="28" eb="30">
      <t>セイゾウ</t>
    </rPh>
    <rPh sb="30" eb="32">
      <t>ハンバイ</t>
    </rPh>
    <phoneticPr fontId="4"/>
  </si>
  <si>
    <t>6249s</t>
  </si>
  <si>
    <t>ゲームカード・ジョイコ・HLD</t>
    <phoneticPr fontId="4"/>
  </si>
  <si>
    <t>機械</t>
    <rPh sb="0" eb="2">
      <t>キカイ</t>
    </rPh>
    <phoneticPr fontId="4"/>
  </si>
  <si>
    <t>遊戯用プリペイドカードシステム大手。</t>
    <rPh sb="0" eb="3">
      <t>ユウギヨウ</t>
    </rPh>
    <rPh sb="15" eb="17">
      <t>オオテ</t>
    </rPh>
    <phoneticPr fontId="4"/>
  </si>
  <si>
    <t>6282s</t>
    <phoneticPr fontId="4"/>
  </si>
  <si>
    <t>オイレス工業</t>
    <rPh sb="4" eb="6">
      <t>コウギョウ</t>
    </rPh>
    <phoneticPr fontId="4"/>
  </si>
  <si>
    <t>カタログポイント</t>
    <phoneticPr fontId="4"/>
  </si>
  <si>
    <t>無給軸受けで国内シェアトップ。好財務。黒字業績安定。資産株向き</t>
    <rPh sb="0" eb="2">
      <t>ムキュウ</t>
    </rPh>
    <rPh sb="2" eb="4">
      <t>ジクウ</t>
    </rPh>
    <rPh sb="6" eb="8">
      <t>コクナイ</t>
    </rPh>
    <rPh sb="15" eb="16">
      <t>コウ</t>
    </rPh>
    <rPh sb="16" eb="18">
      <t>ザイム</t>
    </rPh>
    <rPh sb="19" eb="21">
      <t>クロジ</t>
    </rPh>
    <rPh sb="21" eb="23">
      <t>ギョウセキ</t>
    </rPh>
    <rPh sb="23" eb="25">
      <t>アンテイ</t>
    </rPh>
    <rPh sb="26" eb="28">
      <t>シサン</t>
    </rPh>
    <rPh sb="28" eb="29">
      <t>カブ</t>
    </rPh>
    <rPh sb="29" eb="30">
      <t>ム</t>
    </rPh>
    <phoneticPr fontId="4"/>
  </si>
  <si>
    <t>6312s</t>
    <phoneticPr fontId="4"/>
  </si>
  <si>
    <t>フロイント産業</t>
    <rPh sb="5" eb="7">
      <t>サンギョウ</t>
    </rPh>
    <phoneticPr fontId="4"/>
  </si>
  <si>
    <t>製薬の造粒・コーティング装置メーカー。好財務完全無借金経営。</t>
    <rPh sb="0" eb="2">
      <t>セイヤク</t>
    </rPh>
    <rPh sb="3" eb="5">
      <t>ゾウリュウ</t>
    </rPh>
    <rPh sb="12" eb="14">
      <t>ソウチ</t>
    </rPh>
    <rPh sb="19" eb="20">
      <t>コウ</t>
    </rPh>
    <rPh sb="20" eb="22">
      <t>ザイム</t>
    </rPh>
    <rPh sb="22" eb="24">
      <t>カンゼン</t>
    </rPh>
    <rPh sb="24" eb="25">
      <t>ム</t>
    </rPh>
    <rPh sb="25" eb="27">
      <t>シャッキン</t>
    </rPh>
    <rPh sb="27" eb="29">
      <t>ケイエイ</t>
    </rPh>
    <phoneticPr fontId="4"/>
  </si>
  <si>
    <t>6617s</t>
    <phoneticPr fontId="4"/>
  </si>
  <si>
    <t>東光高岳</t>
    <rPh sb="0" eb="2">
      <t>トウコウ</t>
    </rPh>
    <rPh sb="2" eb="4">
      <t>タカオカ</t>
    </rPh>
    <phoneticPr fontId="4"/>
  </si>
  <si>
    <t>電機機器</t>
    <rPh sb="0" eb="2">
      <t>デンキ</t>
    </rPh>
    <rPh sb="2" eb="4">
      <t>キキ</t>
    </rPh>
    <phoneticPr fontId="4"/>
  </si>
  <si>
    <t>ｶﾀﾛｸﾞ割引</t>
    <rPh sb="5" eb="7">
      <t>ワリビキ</t>
    </rPh>
    <phoneticPr fontId="4"/>
  </si>
  <si>
    <t>電力ネットワーク関連。福島産カタログの割引券1000円を1株から。</t>
    <rPh sb="0" eb="2">
      <t>デンリョク</t>
    </rPh>
    <rPh sb="8" eb="10">
      <t>カンレン</t>
    </rPh>
    <rPh sb="11" eb="13">
      <t>フクシマ</t>
    </rPh>
    <rPh sb="13" eb="14">
      <t>サン</t>
    </rPh>
    <rPh sb="19" eb="21">
      <t>ワリビキ</t>
    </rPh>
    <rPh sb="21" eb="22">
      <t>ケン</t>
    </rPh>
    <rPh sb="26" eb="27">
      <t>エン</t>
    </rPh>
    <rPh sb="29" eb="30">
      <t>カブ</t>
    </rPh>
    <phoneticPr fontId="4"/>
  </si>
  <si>
    <t>https://midette.com/syohin_syokai/</t>
  </si>
  <si>
    <t>6789s</t>
  </si>
  <si>
    <t>ﾛｰﾗﾝﾄﾞDG</t>
    <phoneticPr fontId="4"/>
  </si>
  <si>
    <t>電気機器</t>
    <rPh sb="0" eb="2">
      <t>デンキ</t>
    </rPh>
    <rPh sb="2" eb="4">
      <t>キキ</t>
    </rPh>
    <phoneticPr fontId="4"/>
  </si>
  <si>
    <t>6815s</t>
  </si>
  <si>
    <t>6819s</t>
  </si>
  <si>
    <t>伊豆ｼｬﾎﾞﾃﾝﾘｿﾞｰﾄ</t>
    <rPh sb="0" eb="2">
      <t>イズ</t>
    </rPh>
    <phoneticPr fontId="4"/>
  </si>
  <si>
    <t>ｼｬﾎﾞﾃﾝﾘｿﾞｰﾄ入場料3名分</t>
    <rPh sb="11" eb="14">
      <t>ニュウジョウリョウ</t>
    </rPh>
    <rPh sb="15" eb="16">
      <t>メイ</t>
    </rPh>
    <rPh sb="16" eb="17">
      <t>ブン</t>
    </rPh>
    <phoneticPr fontId="4"/>
  </si>
  <si>
    <t>伊豆シャボテン動物公園の運営。優待は平日でないと使えない券が2枚あるので注意。</t>
    <rPh sb="0" eb="2">
      <t>イズ</t>
    </rPh>
    <rPh sb="7" eb="9">
      <t>ドウブツ</t>
    </rPh>
    <rPh sb="9" eb="11">
      <t>コウエン</t>
    </rPh>
    <rPh sb="12" eb="14">
      <t>ウンエイ</t>
    </rPh>
    <rPh sb="15" eb="17">
      <t>ユウタイ</t>
    </rPh>
    <rPh sb="18" eb="20">
      <t>ヘイジツ</t>
    </rPh>
    <rPh sb="24" eb="25">
      <t>ツカ</t>
    </rPh>
    <rPh sb="28" eb="29">
      <t>ケン</t>
    </rPh>
    <rPh sb="31" eb="32">
      <t>マイ</t>
    </rPh>
    <rPh sb="36" eb="38">
      <t>チュウイ</t>
    </rPh>
    <phoneticPr fontId="4"/>
  </si>
  <si>
    <t>https://izushaboten.com/information/index.html</t>
  </si>
  <si>
    <t>6897s優待</t>
  </si>
  <si>
    <t>7148sg</t>
    <phoneticPr fontId="4"/>
  </si>
  <si>
    <t>FPG</t>
    <phoneticPr fontId="4"/>
  </si>
  <si>
    <t>証券・商品先物</t>
    <rPh sb="0" eb="2">
      <t>ショウケン</t>
    </rPh>
    <rPh sb="3" eb="5">
      <t>ショウヒン</t>
    </rPh>
    <rPh sb="5" eb="7">
      <t>サキモノ</t>
    </rPh>
    <phoneticPr fontId="4"/>
  </si>
  <si>
    <t>UCギフトカード</t>
    <phoneticPr fontId="4"/>
  </si>
  <si>
    <t>オペリース商品。かなり高成長だが財務は悪く手元キャッシュが少ない。</t>
    <rPh sb="5" eb="7">
      <t>ショウヒン</t>
    </rPh>
    <rPh sb="11" eb="14">
      <t>コウセイチョウ</t>
    </rPh>
    <rPh sb="16" eb="18">
      <t>ザイム</t>
    </rPh>
    <rPh sb="19" eb="20">
      <t>ワル</t>
    </rPh>
    <rPh sb="21" eb="23">
      <t>テモト</t>
    </rPh>
    <rPh sb="29" eb="30">
      <t>スク</t>
    </rPh>
    <phoneticPr fontId="4"/>
  </si>
  <si>
    <t>7172s</t>
    <phoneticPr fontId="4"/>
  </si>
  <si>
    <t>ジャパンインベストメントアドバイザー</t>
    <phoneticPr fontId="4"/>
  </si>
  <si>
    <t>証券・商品先物商品先物</t>
    <rPh sb="0" eb="2">
      <t>ショウケン</t>
    </rPh>
    <rPh sb="3" eb="5">
      <t>ショウヒン</t>
    </rPh>
    <rPh sb="5" eb="7">
      <t>サキモノ</t>
    </rPh>
    <rPh sb="7" eb="9">
      <t>ショウヒン</t>
    </rPh>
    <rPh sb="9" eb="11">
      <t>サキモノ</t>
    </rPh>
    <phoneticPr fontId="4"/>
  </si>
  <si>
    <t>航空機リース。3Q実績悪く。2回目の下方修正濃厚</t>
    <rPh sb="0" eb="3">
      <t>コウクウキ</t>
    </rPh>
    <rPh sb="9" eb="11">
      <t>ジッセキ</t>
    </rPh>
    <rPh sb="11" eb="12">
      <t>ワル</t>
    </rPh>
    <rPh sb="15" eb="17">
      <t>カイメ</t>
    </rPh>
    <rPh sb="18" eb="20">
      <t>カホウ</t>
    </rPh>
    <rPh sb="20" eb="22">
      <t>シュウセイ</t>
    </rPh>
    <rPh sb="22" eb="24">
      <t>ノウコウ</t>
    </rPh>
    <phoneticPr fontId="4"/>
  </si>
  <si>
    <t>7192sg</t>
    <phoneticPr fontId="4"/>
  </si>
  <si>
    <t>日本モーゲージサービス</t>
    <rPh sb="0" eb="2">
      <t>ニホン</t>
    </rPh>
    <phoneticPr fontId="4"/>
  </si>
  <si>
    <t>その他金融</t>
    <rPh sb="2" eb="3">
      <t>タ</t>
    </rPh>
    <rPh sb="3" eb="5">
      <t>キンユウ</t>
    </rPh>
    <phoneticPr fontId="4"/>
  </si>
  <si>
    <t>フラット35貸し付け主。4期連続増収増益</t>
    <rPh sb="6" eb="7">
      <t>カ</t>
    </rPh>
    <rPh sb="8" eb="9">
      <t>ツ</t>
    </rPh>
    <rPh sb="10" eb="11">
      <t>シュ</t>
    </rPh>
    <rPh sb="13" eb="14">
      <t>キ</t>
    </rPh>
    <rPh sb="14" eb="16">
      <t>レンゾク</t>
    </rPh>
    <rPh sb="16" eb="18">
      <t>ゾウシュウ</t>
    </rPh>
    <rPh sb="18" eb="20">
      <t>ゾウエキ</t>
    </rPh>
    <phoneticPr fontId="4"/>
  </si>
  <si>
    <t>7256s</t>
    <phoneticPr fontId="4"/>
  </si>
  <si>
    <t>河西工業</t>
    <rPh sb="0" eb="2">
      <t>カサイ</t>
    </rPh>
    <rPh sb="2" eb="4">
      <t>コウギョウ</t>
    </rPh>
    <phoneticPr fontId="4"/>
  </si>
  <si>
    <t>自動車内装インテリア部品メーカー。海外7割。日産連れ安。</t>
    <rPh sb="0" eb="3">
      <t>ジドウシャ</t>
    </rPh>
    <rPh sb="3" eb="5">
      <t>ナイソウ</t>
    </rPh>
    <rPh sb="10" eb="12">
      <t>ブヒン</t>
    </rPh>
    <rPh sb="17" eb="19">
      <t>カイガイ</t>
    </rPh>
    <rPh sb="20" eb="21">
      <t>ワリ</t>
    </rPh>
    <rPh sb="22" eb="24">
      <t>ニッサン</t>
    </rPh>
    <rPh sb="24" eb="25">
      <t>ツ</t>
    </rPh>
    <rPh sb="26" eb="27">
      <t>ヤス</t>
    </rPh>
    <phoneticPr fontId="4"/>
  </si>
  <si>
    <t>7272s</t>
    <phoneticPr fontId="4"/>
  </si>
  <si>
    <t>ヤマハ発動機</t>
    <rPh sb="3" eb="6">
      <t>ハツドウキ</t>
    </rPh>
    <phoneticPr fontId="4"/>
  </si>
  <si>
    <t>食品等と交換ポイント</t>
    <rPh sb="0" eb="2">
      <t>ショクヒン</t>
    </rPh>
    <rPh sb="2" eb="3">
      <t>トウ</t>
    </rPh>
    <rPh sb="4" eb="6">
      <t>コウカン</t>
    </rPh>
    <phoneticPr fontId="4"/>
  </si>
  <si>
    <t>二輪世界大手</t>
    <rPh sb="0" eb="2">
      <t>ニリン</t>
    </rPh>
    <rPh sb="2" eb="4">
      <t>セカイ</t>
    </rPh>
    <rPh sb="4" eb="6">
      <t>オオテ</t>
    </rPh>
    <phoneticPr fontId="4"/>
  </si>
  <si>
    <t>https://kikyohana.work/entry/2019/07/13/150650/</t>
  </si>
  <si>
    <t>7278so</t>
    <phoneticPr fontId="4"/>
  </si>
  <si>
    <t>エクセディ</t>
    <phoneticPr fontId="4"/>
  </si>
  <si>
    <t>クラッチ最大手。ATが主だがMTも高シェア。好財務</t>
    <rPh sb="4" eb="7">
      <t>サイオオテ</t>
    </rPh>
    <rPh sb="11" eb="12">
      <t>シュ</t>
    </rPh>
    <rPh sb="17" eb="18">
      <t>コウ</t>
    </rPh>
    <rPh sb="22" eb="23">
      <t>コウ</t>
    </rPh>
    <rPh sb="23" eb="25">
      <t>ザイム</t>
    </rPh>
    <phoneticPr fontId="4"/>
  </si>
  <si>
    <t>7291s-600円</t>
  </si>
  <si>
    <t>7294s-1200円</t>
  </si>
  <si>
    <t>8005s</t>
    <phoneticPr fontId="4"/>
  </si>
  <si>
    <t>スクロール</t>
    <phoneticPr fontId="4"/>
  </si>
  <si>
    <t>小売り業</t>
    <rPh sb="0" eb="2">
      <t>コウ</t>
    </rPh>
    <rPh sb="3" eb="4">
      <t>ギョウ</t>
    </rPh>
    <phoneticPr fontId="4"/>
  </si>
  <si>
    <t>カタログサイトで使える優待</t>
    <rPh sb="8" eb="9">
      <t>ツカ</t>
    </rPh>
    <rPh sb="11" eb="13">
      <t>ユウタイ</t>
    </rPh>
    <phoneticPr fontId="4"/>
  </si>
  <si>
    <t>生協向けカタログ通販。ネット通販展開</t>
    <rPh sb="0" eb="2">
      <t>セイキョウ</t>
    </rPh>
    <rPh sb="2" eb="3">
      <t>ム</t>
    </rPh>
    <rPh sb="8" eb="10">
      <t>ツウハン</t>
    </rPh>
    <rPh sb="14" eb="16">
      <t>ツウハン</t>
    </rPh>
    <rPh sb="16" eb="18">
      <t>テンカイ</t>
    </rPh>
    <phoneticPr fontId="4"/>
  </si>
  <si>
    <t>8098s</t>
  </si>
  <si>
    <t>8118s</t>
  </si>
  <si>
    <t>キング</t>
    <phoneticPr fontId="4"/>
  </si>
  <si>
    <t>増収増益で好財務</t>
    <rPh sb="0" eb="2">
      <t>ゾウシュウ</t>
    </rPh>
    <rPh sb="2" eb="4">
      <t>ゾウエキ</t>
    </rPh>
    <rPh sb="5" eb="6">
      <t>コウ</t>
    </rPh>
    <rPh sb="6" eb="8">
      <t>ザイム</t>
    </rPh>
    <phoneticPr fontId="4"/>
  </si>
  <si>
    <t>8165s</t>
  </si>
  <si>
    <t>千趣会</t>
    <rPh sb="0" eb="3">
      <t>センシュカイ</t>
    </rPh>
    <phoneticPr fontId="4"/>
  </si>
  <si>
    <t>8219s</t>
  </si>
  <si>
    <t>青山商事</t>
    <rPh sb="0" eb="2">
      <t>アオヤマ</t>
    </rPh>
    <rPh sb="2" eb="4">
      <t>ショウジ</t>
    </rPh>
    <phoneticPr fontId="4"/>
  </si>
  <si>
    <t>買物優待券</t>
    <rPh sb="0" eb="2">
      <t>カイモノ</t>
    </rPh>
    <rPh sb="2" eb="5">
      <t>ユウタイケン</t>
    </rPh>
    <phoneticPr fontId="4"/>
  </si>
  <si>
    <t>紳士服国内首位。高配当だが今期赤字。</t>
    <rPh sb="0" eb="3">
      <t>シンシフク</t>
    </rPh>
    <rPh sb="3" eb="5">
      <t>コクナイ</t>
    </rPh>
    <rPh sb="5" eb="7">
      <t>シュイ</t>
    </rPh>
    <rPh sb="8" eb="11">
      <t>コウハイトウ</t>
    </rPh>
    <rPh sb="13" eb="15">
      <t>コンキ</t>
    </rPh>
    <rPh sb="15" eb="17">
      <t>アカジ</t>
    </rPh>
    <phoneticPr fontId="4"/>
  </si>
  <si>
    <t>8869v&amp;s-600ika</t>
  </si>
  <si>
    <t>8928s</t>
    <phoneticPr fontId="4"/>
  </si>
  <si>
    <t>穴吹興産</t>
    <rPh sb="0" eb="2">
      <t>アナブキ</t>
    </rPh>
    <rPh sb="2" eb="4">
      <t>コウサン</t>
    </rPh>
    <phoneticPr fontId="4"/>
  </si>
  <si>
    <t>3000相当食品</t>
    <rPh sb="4" eb="6">
      <t>ソウトウ</t>
    </rPh>
    <rPh sb="6" eb="8">
      <t>ショクヒン</t>
    </rPh>
    <phoneticPr fontId="4"/>
  </si>
  <si>
    <t>四国分譲マンション首位級</t>
    <rPh sb="0" eb="2">
      <t>シコク</t>
    </rPh>
    <rPh sb="2" eb="4">
      <t>ブンジョウ</t>
    </rPh>
    <rPh sb="9" eb="11">
      <t>シュイ</t>
    </rPh>
    <rPh sb="11" eb="12">
      <t>キュウ</t>
    </rPh>
    <phoneticPr fontId="4"/>
  </si>
  <si>
    <t>9201os</t>
  </si>
  <si>
    <t>日本航空</t>
    <rPh sb="0" eb="2">
      <t>ニホン</t>
    </rPh>
    <rPh sb="2" eb="4">
      <t>コウクウ</t>
    </rPh>
    <phoneticPr fontId="4"/>
  </si>
  <si>
    <t>空運業</t>
    <rPh sb="0" eb="2">
      <t>クウウン</t>
    </rPh>
    <rPh sb="2" eb="3">
      <t>ギョウ</t>
    </rPh>
    <phoneticPr fontId="4"/>
  </si>
  <si>
    <t>国内線半額券</t>
    <rPh sb="0" eb="2">
      <t>コクナイ</t>
    </rPh>
    <rPh sb="2" eb="3">
      <t>セン</t>
    </rPh>
    <rPh sb="3" eb="5">
      <t>ハンガク</t>
    </rPh>
    <rPh sb="5" eb="6">
      <t>ケン</t>
    </rPh>
    <phoneticPr fontId="4"/>
  </si>
  <si>
    <t>国内・国際線2位</t>
    <rPh sb="0" eb="2">
      <t>コクナイ</t>
    </rPh>
    <rPh sb="3" eb="6">
      <t>コクサイセン</t>
    </rPh>
    <rPh sb="7" eb="8">
      <t>イ</t>
    </rPh>
    <phoneticPr fontId="4"/>
  </si>
  <si>
    <t>9266s</t>
  </si>
  <si>
    <t>一家ダイニングプロジェクト</t>
    <rPh sb="0" eb="2">
      <t>イッカ</t>
    </rPh>
    <phoneticPr fontId="4"/>
  </si>
  <si>
    <t>食事優待券</t>
    <rPh sb="0" eb="2">
      <t>ショクジ</t>
    </rPh>
    <rPh sb="2" eb="5">
      <t>ユウタイケン</t>
    </rPh>
    <phoneticPr fontId="4"/>
  </si>
  <si>
    <t>首都圏で和食居酒屋展開。3期連続増収増益中。指標は高い。400株まで同じ優待利回り。12月は優待利用できない</t>
    <rPh sb="0" eb="3">
      <t>シュトケン</t>
    </rPh>
    <rPh sb="4" eb="6">
      <t>ワショク</t>
    </rPh>
    <rPh sb="6" eb="9">
      <t>イザカヤ</t>
    </rPh>
    <rPh sb="9" eb="11">
      <t>テンカイ</t>
    </rPh>
    <rPh sb="13" eb="14">
      <t>キ</t>
    </rPh>
    <rPh sb="14" eb="16">
      <t>レンゾク</t>
    </rPh>
    <rPh sb="16" eb="18">
      <t>ゾウシュウ</t>
    </rPh>
    <rPh sb="18" eb="20">
      <t>ゾウエキ</t>
    </rPh>
    <rPh sb="20" eb="21">
      <t>チュウ</t>
    </rPh>
    <rPh sb="22" eb="24">
      <t>シヒョウ</t>
    </rPh>
    <rPh sb="25" eb="26">
      <t>タカ</t>
    </rPh>
    <rPh sb="31" eb="32">
      <t>カブ</t>
    </rPh>
    <rPh sb="34" eb="35">
      <t>オナ</t>
    </rPh>
    <rPh sb="36" eb="38">
      <t>ユウタイ</t>
    </rPh>
    <rPh sb="38" eb="40">
      <t>リマワ</t>
    </rPh>
    <rPh sb="44" eb="45">
      <t>ガツ</t>
    </rPh>
    <rPh sb="46" eb="48">
      <t>ユウタイ</t>
    </rPh>
    <rPh sb="48" eb="50">
      <t>リヨウ</t>
    </rPh>
    <phoneticPr fontId="4"/>
  </si>
  <si>
    <t>9273s</t>
  </si>
  <si>
    <t>コーア商事HLD</t>
    <rPh sb="3" eb="5">
      <t>ショウジ</t>
    </rPh>
    <phoneticPr fontId="4"/>
  </si>
  <si>
    <t>ジェネリック医薬品の原薬販売主。1Qが悪く業績回復はこれからか。ただ、配当性向は低く好財務なので優待、配当維持力はある。</t>
    <rPh sb="6" eb="9">
      <t>イヤクヒン</t>
    </rPh>
    <rPh sb="10" eb="12">
      <t>ゲンヤク</t>
    </rPh>
    <rPh sb="12" eb="14">
      <t>ハンバイ</t>
    </rPh>
    <rPh sb="14" eb="15">
      <t>シュ</t>
    </rPh>
    <rPh sb="19" eb="20">
      <t>ワル</t>
    </rPh>
    <rPh sb="21" eb="23">
      <t>ギョウセキ</t>
    </rPh>
    <rPh sb="23" eb="25">
      <t>カイフク</t>
    </rPh>
    <rPh sb="35" eb="37">
      <t>ハイトウ</t>
    </rPh>
    <rPh sb="37" eb="39">
      <t>セイコウ</t>
    </rPh>
    <rPh sb="40" eb="41">
      <t>ヒク</t>
    </rPh>
    <rPh sb="42" eb="43">
      <t>コウ</t>
    </rPh>
    <rPh sb="43" eb="45">
      <t>ザイム</t>
    </rPh>
    <rPh sb="48" eb="50">
      <t>ユウタイ</t>
    </rPh>
    <rPh sb="51" eb="53">
      <t>ハイトウ</t>
    </rPh>
    <rPh sb="53" eb="55">
      <t>イジ</t>
    </rPh>
    <rPh sb="55" eb="56">
      <t>リョク</t>
    </rPh>
    <phoneticPr fontId="4"/>
  </si>
  <si>
    <t>9369s-960ika</t>
  </si>
  <si>
    <t>9468s</t>
  </si>
  <si>
    <t>9681sー記事化</t>
  </si>
  <si>
    <t>9656s</t>
    <phoneticPr fontId="4"/>
  </si>
  <si>
    <t>グリーンランドリゾート</t>
    <phoneticPr fontId="4"/>
  </si>
  <si>
    <t>入場無料券2枚</t>
    <rPh sb="0" eb="2">
      <t>ニュウジョウ</t>
    </rPh>
    <rPh sb="2" eb="4">
      <t>ムリョウ</t>
    </rPh>
    <rPh sb="4" eb="5">
      <t>ケン</t>
    </rPh>
    <rPh sb="6" eb="7">
      <t>マイ</t>
    </rPh>
    <phoneticPr fontId="4"/>
  </si>
  <si>
    <t>九州で遊園地を運営。増収増益中。</t>
    <rPh sb="0" eb="2">
      <t>キュウシュウ</t>
    </rPh>
    <rPh sb="3" eb="6">
      <t>ユウエンチ</t>
    </rPh>
    <rPh sb="7" eb="9">
      <t>ウンエイ</t>
    </rPh>
    <rPh sb="10" eb="12">
      <t>ゾウシュウ</t>
    </rPh>
    <rPh sb="12" eb="14">
      <t>ゾウエキ</t>
    </rPh>
    <rPh sb="14" eb="15">
      <t>チュウ</t>
    </rPh>
    <phoneticPr fontId="4"/>
  </si>
  <si>
    <t>http://www.greenland.co.jp/park/attraction/</t>
  </si>
  <si>
    <t>9769s</t>
  </si>
  <si>
    <t>学究社</t>
    <rPh sb="0" eb="3">
      <t>ガッキュウシャ</t>
    </rPh>
    <phoneticPr fontId="4"/>
  </si>
  <si>
    <t>東京で小中学生向け塾ena展開。好財務だがPBR高い(明光ネットワーク,東京個別指導学院もこの傾向)</t>
    <rPh sb="0" eb="2">
      <t>トウキョウ</t>
    </rPh>
    <rPh sb="3" eb="7">
      <t>ショウチュウガクセイ</t>
    </rPh>
    <rPh sb="7" eb="8">
      <t>ム</t>
    </rPh>
    <rPh sb="9" eb="10">
      <t>ジュク</t>
    </rPh>
    <rPh sb="13" eb="15">
      <t>テンカイ</t>
    </rPh>
    <rPh sb="16" eb="17">
      <t>コウ</t>
    </rPh>
    <rPh sb="17" eb="19">
      <t>ザイム</t>
    </rPh>
    <rPh sb="24" eb="25">
      <t>タカ</t>
    </rPh>
    <rPh sb="27" eb="29">
      <t>メイコウ</t>
    </rPh>
    <rPh sb="36" eb="38">
      <t>トウキョウ</t>
    </rPh>
    <rPh sb="38" eb="40">
      <t>コベツ</t>
    </rPh>
    <rPh sb="40" eb="42">
      <t>シドウ</t>
    </rPh>
    <rPh sb="42" eb="44">
      <t>ガクイン</t>
    </rPh>
    <rPh sb="47" eb="49">
      <t>ケイコウ</t>
    </rPh>
    <phoneticPr fontId="4"/>
  </si>
  <si>
    <t>9831s</t>
  </si>
  <si>
    <t>ヤマダ電機</t>
    <rPh sb="3" eb="5">
      <t>デンキ</t>
    </rPh>
    <phoneticPr fontId="4"/>
  </si>
  <si>
    <t>買物優待券</t>
    <rPh sb="0" eb="2">
      <t>カイモノ</t>
    </rPh>
    <rPh sb="2" eb="4">
      <t>ユウタイ</t>
    </rPh>
    <rPh sb="4" eb="5">
      <t>ケン</t>
    </rPh>
    <phoneticPr fontId="4"/>
  </si>
  <si>
    <t>1000円毎に500円の割引。ネットでは使えない。日常品にも使える。</t>
    <rPh sb="4" eb="5">
      <t>エン</t>
    </rPh>
    <rPh sb="5" eb="6">
      <t>ゴト</t>
    </rPh>
    <rPh sb="10" eb="11">
      <t>エン</t>
    </rPh>
    <rPh sb="12" eb="14">
      <t>ワリビキ</t>
    </rPh>
    <rPh sb="20" eb="21">
      <t>ツカ</t>
    </rPh>
    <rPh sb="25" eb="27">
      <t>ニチジョウ</t>
    </rPh>
    <rPh sb="27" eb="28">
      <t>ヒン</t>
    </rPh>
    <rPh sb="30" eb="31">
      <t>ツカ</t>
    </rPh>
    <phoneticPr fontId="4"/>
  </si>
  <si>
    <t>9832s</t>
    <phoneticPr fontId="4"/>
  </si>
  <si>
    <t>オートバックスセブン</t>
    <phoneticPr fontId="4"/>
  </si>
  <si>
    <t>OBで使えるギフトカード</t>
    <rPh sb="3" eb="4">
      <t>ツカ</t>
    </rPh>
    <phoneticPr fontId="4"/>
  </si>
  <si>
    <t>ギフト券は有効期限無し。黒字業績安定し好財務。配当性向高いので増配期待はできない。資産株向き</t>
    <rPh sb="3" eb="4">
      <t>ケン</t>
    </rPh>
    <rPh sb="5" eb="7">
      <t>ユウコウ</t>
    </rPh>
    <rPh sb="7" eb="9">
      <t>キゲン</t>
    </rPh>
    <rPh sb="9" eb="10">
      <t>ナ</t>
    </rPh>
    <rPh sb="12" eb="14">
      <t>クロジ</t>
    </rPh>
    <rPh sb="14" eb="16">
      <t>ギョウセキ</t>
    </rPh>
    <rPh sb="16" eb="18">
      <t>アンテイ</t>
    </rPh>
    <rPh sb="19" eb="20">
      <t>コウ</t>
    </rPh>
    <rPh sb="20" eb="22">
      <t>ザイム</t>
    </rPh>
    <rPh sb="23" eb="25">
      <t>ハイトウ</t>
    </rPh>
    <rPh sb="25" eb="27">
      <t>セイコウ</t>
    </rPh>
    <rPh sb="27" eb="28">
      <t>タカ</t>
    </rPh>
    <rPh sb="31" eb="33">
      <t>ゾウハイ</t>
    </rPh>
    <rPh sb="33" eb="35">
      <t>キタイ</t>
    </rPh>
    <rPh sb="41" eb="43">
      <t>シサン</t>
    </rPh>
    <rPh sb="43" eb="44">
      <t>カブ</t>
    </rPh>
    <rPh sb="44" eb="45">
      <t>ム</t>
    </rPh>
    <phoneticPr fontId="4"/>
  </si>
  <si>
    <t>比率</t>
    <rPh sb="0" eb="2">
      <t>ヒリツ</t>
    </rPh>
    <phoneticPr fontId="4"/>
  </si>
  <si>
    <t>株価
(12/30
現在)</t>
    <rPh sb="0" eb="2">
      <t>カブカ</t>
    </rPh>
    <rPh sb="10" eb="12">
      <t>ゲンザイ</t>
    </rPh>
    <phoneticPr fontId="4"/>
  </si>
  <si>
    <t>カタログギフト
×2回
2000円→長期3000円</t>
    <rPh sb="10" eb="11">
      <t>カイ</t>
    </rPh>
    <rPh sb="16" eb="17">
      <t>エン</t>
    </rPh>
    <rPh sb="18" eb="20">
      <t>チョウキ</t>
    </rPh>
    <rPh sb="24" eb="25">
      <t>エン</t>
    </rPh>
    <phoneticPr fontId="4"/>
  </si>
  <si>
    <t>配当性向
(3年)%</t>
    <rPh sb="0" eb="2">
      <t>ハイトウ</t>
    </rPh>
    <rPh sb="2" eb="3">
      <t>セイ</t>
    </rPh>
    <rPh sb="3" eb="4">
      <t>ムカイ</t>
    </rPh>
    <rPh sb="7" eb="8">
      <t>ネン</t>
    </rPh>
    <phoneticPr fontId="4"/>
  </si>
  <si>
    <t>年度</t>
    <rPh sb="0" eb="2">
      <t>ネンド</t>
    </rPh>
    <phoneticPr fontId="4"/>
  </si>
  <si>
    <t>利益剰余金
(億円)</t>
    <rPh sb="0" eb="2">
      <t>リエキ</t>
    </rPh>
    <rPh sb="2" eb="4">
      <t>ジョウヨ</t>
    </rPh>
    <rPh sb="4" eb="5">
      <t>キン</t>
    </rPh>
    <rPh sb="7" eb="9">
      <t>オクエン</t>
    </rPh>
    <phoneticPr fontId="4"/>
  </si>
  <si>
    <t>前期比
剰余金増加額</t>
    <rPh sb="0" eb="3">
      <t>ゼンキヒ</t>
    </rPh>
    <rPh sb="4" eb="7">
      <t>ジョウヨキン</t>
    </rPh>
    <rPh sb="7" eb="9">
      <t>ゾウカ</t>
    </rPh>
    <rPh sb="9" eb="10">
      <t>ガク</t>
    </rPh>
    <phoneticPr fontId="4"/>
  </si>
  <si>
    <t>前期比
剰余金増加率</t>
    <rPh sb="0" eb="3">
      <t>ゼンキヒ</t>
    </rPh>
    <rPh sb="4" eb="7">
      <t>ジョウヨキン</t>
    </rPh>
    <rPh sb="7" eb="9">
      <t>ゾウカ</t>
    </rPh>
    <rPh sb="9" eb="10">
      <t>リツ</t>
    </rPh>
    <phoneticPr fontId="4"/>
  </si>
  <si>
    <t>10年</t>
    <rPh sb="2" eb="3">
      <t>ネン</t>
    </rPh>
    <phoneticPr fontId="4"/>
  </si>
  <si>
    <t>11年</t>
    <rPh sb="2" eb="3">
      <t>ネン</t>
    </rPh>
    <phoneticPr fontId="4"/>
  </si>
  <si>
    <t>12年</t>
    <rPh sb="2" eb="3">
      <t>ネン</t>
    </rPh>
    <phoneticPr fontId="4"/>
  </si>
  <si>
    <t>13年</t>
    <rPh sb="2" eb="3">
      <t>ネン</t>
    </rPh>
    <phoneticPr fontId="4"/>
  </si>
  <si>
    <t>14年</t>
    <rPh sb="2" eb="3">
      <t>ネン</t>
    </rPh>
    <phoneticPr fontId="4"/>
  </si>
  <si>
    <t>15年</t>
    <rPh sb="2" eb="3">
      <t>ネン</t>
    </rPh>
    <phoneticPr fontId="4"/>
  </si>
  <si>
    <t>16年</t>
    <rPh sb="2" eb="3">
      <t>ネン</t>
    </rPh>
    <phoneticPr fontId="4"/>
  </si>
  <si>
    <t>17年</t>
    <rPh sb="2" eb="3">
      <t>ネン</t>
    </rPh>
    <phoneticPr fontId="4"/>
  </si>
  <si>
    <t>18年</t>
    <rPh sb="2" eb="3">
      <t>ネン</t>
    </rPh>
    <phoneticPr fontId="4"/>
  </si>
  <si>
    <t>19年</t>
    <rPh sb="2" eb="3">
      <t>ネン</t>
    </rPh>
    <phoneticPr fontId="4"/>
  </si>
  <si>
    <t>1株配当金
(円)</t>
    <rPh sb="1" eb="2">
      <t>カブ</t>
    </rPh>
    <rPh sb="2" eb="5">
      <t>ハイトウキン</t>
    </rPh>
    <rPh sb="7" eb="8">
      <t>エン</t>
    </rPh>
    <phoneticPr fontId="4"/>
  </si>
  <si>
    <t>配当性向
(%)</t>
    <rPh sb="0" eb="2">
      <t>ハイトウ</t>
    </rPh>
    <rPh sb="2" eb="4">
      <t>セイコウ</t>
    </rPh>
    <phoneticPr fontId="4"/>
  </si>
  <si>
    <t>前年比
配当増加率</t>
    <rPh sb="0" eb="2">
      <t>ゼンネン</t>
    </rPh>
    <rPh sb="2" eb="3">
      <t>ヒ</t>
    </rPh>
    <rPh sb="4" eb="6">
      <t>ハイトウ</t>
    </rPh>
    <rPh sb="6" eb="8">
      <t>ゾウカ</t>
    </rPh>
    <rPh sb="8" eb="9">
      <t>リツ</t>
    </rPh>
    <phoneticPr fontId="4"/>
  </si>
  <si>
    <t>10年～
総自社株買金額
(億円)</t>
    <rPh sb="2" eb="3">
      <t>ネン</t>
    </rPh>
    <rPh sb="5" eb="6">
      <t>ソウ</t>
    </rPh>
    <rPh sb="6" eb="8">
      <t>ジシャ</t>
    </rPh>
    <rPh sb="8" eb="9">
      <t>カブ</t>
    </rPh>
    <rPh sb="9" eb="10">
      <t>カ</t>
    </rPh>
    <rPh sb="10" eb="12">
      <t>キンガク</t>
    </rPh>
    <rPh sb="14" eb="16">
      <t>オクエン</t>
    </rPh>
    <phoneticPr fontId="4"/>
  </si>
  <si>
    <t>自社株買
(億円)</t>
    <rPh sb="0" eb="2">
      <t>ジシャ</t>
    </rPh>
    <rPh sb="2" eb="3">
      <t>カブ</t>
    </rPh>
    <rPh sb="3" eb="4">
      <t>カ</t>
    </rPh>
    <rPh sb="6" eb="8">
      <t>オクエン</t>
    </rPh>
    <phoneticPr fontId="4"/>
  </si>
  <si>
    <t>売上高
(百万円)</t>
    <rPh sb="0" eb="2">
      <t>ウリアゲ</t>
    </rPh>
    <rPh sb="2" eb="3">
      <t>ダカ</t>
    </rPh>
    <rPh sb="5" eb="7">
      <t>ヒャクマン</t>
    </rPh>
    <rPh sb="7" eb="8">
      <t>エン</t>
    </rPh>
    <phoneticPr fontId="4"/>
  </si>
  <si>
    <t>利益
(百万円)</t>
    <rPh sb="0" eb="2">
      <t>リエキ</t>
    </rPh>
    <rPh sb="4" eb="6">
      <t>ヒャクマン</t>
    </rPh>
    <rPh sb="6" eb="7">
      <t>エン</t>
    </rPh>
    <phoneticPr fontId="4"/>
  </si>
  <si>
    <t>女性アパレル中堅。ミセスブランド</t>
    <rPh sb="0" eb="2">
      <t>ジョセイ</t>
    </rPh>
    <rPh sb="6" eb="8">
      <t>チュウケン</t>
    </rPh>
    <phoneticPr fontId="4"/>
  </si>
  <si>
    <t>売上高
利益率</t>
    <rPh sb="0" eb="2">
      <t>ウリアゲ</t>
    </rPh>
    <rPh sb="2" eb="3">
      <t>ダカ</t>
    </rPh>
    <rPh sb="4" eb="6">
      <t>リエキ</t>
    </rPh>
    <rPh sb="6" eb="7">
      <t>リツ</t>
    </rPh>
    <phoneticPr fontId="4"/>
  </si>
  <si>
    <t>事業特徴など</t>
    <rPh sb="0" eb="2">
      <t>ジギョウ</t>
    </rPh>
    <rPh sb="2" eb="4">
      <t>トクチョウ</t>
    </rPh>
    <phoneticPr fontId="4"/>
  </si>
  <si>
    <t>調剤薬局上位で全国展開。コンビニ・家電量販店と共同出店</t>
    <rPh sb="0" eb="2">
      <t>チョウザイ</t>
    </rPh>
    <rPh sb="2" eb="4">
      <t>ヤッキョク</t>
    </rPh>
    <rPh sb="4" eb="6">
      <t>ジョウイ</t>
    </rPh>
    <rPh sb="7" eb="9">
      <t>ゼンコク</t>
    </rPh>
    <rPh sb="9" eb="11">
      <t>テンカイ</t>
    </rPh>
    <rPh sb="17" eb="19">
      <t>カデン</t>
    </rPh>
    <rPh sb="19" eb="22">
      <t>リョウハンテン</t>
    </rPh>
    <rPh sb="23" eb="25">
      <t>キョウドウ</t>
    </rPh>
    <rPh sb="25" eb="27">
      <t>シュッテン</t>
    </rPh>
    <phoneticPr fontId="4"/>
  </si>
  <si>
    <t>経常利益
(億円)</t>
    <rPh sb="0" eb="2">
      <t>ケイジョウ</t>
    </rPh>
    <rPh sb="2" eb="4">
      <t>リエキ</t>
    </rPh>
    <rPh sb="6" eb="8">
      <t>オクエン</t>
    </rPh>
    <phoneticPr fontId="4"/>
  </si>
  <si>
    <t>経常利益率
(%)</t>
    <rPh sb="0" eb="2">
      <t>ケイジョウ</t>
    </rPh>
    <rPh sb="2" eb="4">
      <t>リエキ</t>
    </rPh>
    <rPh sb="4" eb="5">
      <t>リツ</t>
    </rPh>
    <phoneticPr fontId="4"/>
  </si>
  <si>
    <t>1株利益
(円)</t>
    <rPh sb="1" eb="2">
      <t>カブ</t>
    </rPh>
    <rPh sb="2" eb="4">
      <t>リエキ</t>
    </rPh>
    <rPh sb="6" eb="7">
      <t>エン</t>
    </rPh>
    <phoneticPr fontId="4"/>
  </si>
  <si>
    <t>総資産
(億円)</t>
    <rPh sb="0" eb="3">
      <t>ソウシサン</t>
    </rPh>
    <rPh sb="5" eb="7">
      <t>オクエン</t>
    </rPh>
    <phoneticPr fontId="4"/>
  </si>
  <si>
    <t>現金等
(億円)</t>
    <rPh sb="0" eb="2">
      <t>ゲンキン</t>
    </rPh>
    <rPh sb="2" eb="3">
      <t>トウ</t>
    </rPh>
    <rPh sb="5" eb="7">
      <t>オクエン</t>
    </rPh>
    <phoneticPr fontId="4"/>
  </si>
  <si>
    <t>自己資本比率
(%)</t>
    <rPh sb="0" eb="2">
      <t>ジコ</t>
    </rPh>
    <rPh sb="2" eb="4">
      <t>シホン</t>
    </rPh>
    <rPh sb="4" eb="6">
      <t>ヒリツ</t>
    </rPh>
    <phoneticPr fontId="4"/>
  </si>
  <si>
    <t>総資産
現金比率(%)</t>
    <rPh sb="0" eb="3">
      <t>ソウシサン</t>
    </rPh>
    <rPh sb="4" eb="6">
      <t>ゲンキン</t>
    </rPh>
    <rPh sb="6" eb="8">
      <t>ヒリツ</t>
    </rPh>
    <phoneticPr fontId="4"/>
  </si>
  <si>
    <t>最高利回投資
金額(円)</t>
    <rPh sb="0" eb="2">
      <t>サイコウ</t>
    </rPh>
    <rPh sb="2" eb="4">
      <t>リマワ</t>
    </rPh>
    <rPh sb="4" eb="6">
      <t>トウシ</t>
    </rPh>
    <rPh sb="7" eb="9">
      <t>キンガク</t>
    </rPh>
    <rPh sb="10" eb="11">
      <t>エン</t>
    </rPh>
    <phoneticPr fontId="4"/>
  </si>
  <si>
    <t>事業概要</t>
    <rPh sb="0" eb="2">
      <t>ジギョウ</t>
    </rPh>
    <rPh sb="2" eb="4">
      <t>ガイヨウ</t>
    </rPh>
    <phoneticPr fontId="4"/>
  </si>
  <si>
    <t>売上先別</t>
    <rPh sb="0" eb="2">
      <t>ウリアゲ</t>
    </rPh>
    <rPh sb="2" eb="3">
      <t>サキ</t>
    </rPh>
    <rPh sb="3" eb="4">
      <t>ベツ</t>
    </rPh>
    <phoneticPr fontId="4"/>
  </si>
  <si>
    <t>http://www.zenkoku.co.jp/service/index.html</t>
  </si>
  <si>
    <t>金融機関の皆雅へ</t>
    <rPh sb="0" eb="2">
      <t>キンユウ</t>
    </rPh>
    <rPh sb="2" eb="4">
      <t>キカン</t>
    </rPh>
    <rPh sb="5" eb="6">
      <t>ミナ</t>
    </rPh>
    <rPh sb="6" eb="7">
      <t>マサ</t>
    </rPh>
    <phoneticPr fontId="4"/>
  </si>
  <si>
    <t>http://www.zenkoku.co.jp/ir/individual/business.html</t>
  </si>
  <si>
    <t>http://www.zenkoku.co.jp/ir/individual/advantage.html</t>
  </si>
  <si>
    <t>file:///C:/Users/user/Desktop/株/資産株/85.7164全国保証-3月-QUOカード5000円(1年、初年度3000円)/説明会資料.pdf</t>
  </si>
  <si>
    <t>https://contents.xj-storage.jp/xcontents/71640/80f9ca91/db36/4a00/8408/b2e83dae6887/20191107175429373s.pdf</t>
  </si>
  <si>
    <t>ディスクロージャー誌</t>
    <rPh sb="9" eb="10">
      <t>シ</t>
    </rPh>
    <phoneticPr fontId="4"/>
  </si>
  <si>
    <t>　：：：：：：：：：：：：：：：：：：：：：：：：：：：：：：：：：：：：：：：：：***</t>
    <phoneticPr fontId="4"/>
  </si>
  <si>
    <t>20年</t>
    <rPh sb="2" eb="3">
      <t>ネン</t>
    </rPh>
    <phoneticPr fontId="4"/>
  </si>
  <si>
    <t>日本デコラックス　セグメント別売上高</t>
    <rPh sb="0" eb="2">
      <t>ニホン</t>
    </rPh>
    <rPh sb="14" eb="15">
      <t>ベツ</t>
    </rPh>
    <rPh sb="15" eb="17">
      <t>ウリアゲ</t>
    </rPh>
    <rPh sb="17" eb="18">
      <t>ダカ</t>
    </rPh>
    <phoneticPr fontId="4"/>
  </si>
  <si>
    <t>建設材料事業</t>
    <rPh sb="0" eb="2">
      <t>ケンセツ</t>
    </rPh>
    <rPh sb="2" eb="4">
      <t>ザイリョウ</t>
    </rPh>
    <rPh sb="4" eb="6">
      <t>ジギョウ</t>
    </rPh>
    <phoneticPr fontId="4"/>
  </si>
  <si>
    <t>不動産事業</t>
    <rPh sb="0" eb="3">
      <t>フドウサン</t>
    </rPh>
    <rPh sb="3" eb="5">
      <t>ジギョウ</t>
    </rPh>
    <phoneticPr fontId="4"/>
  </si>
  <si>
    <t>日本デコラックス　セグメント別利益額</t>
    <rPh sb="0" eb="2">
      <t>ニホン</t>
    </rPh>
    <rPh sb="14" eb="15">
      <t>ベツ</t>
    </rPh>
    <rPh sb="15" eb="17">
      <t>リエキ</t>
    </rPh>
    <rPh sb="17" eb="18">
      <t>ガク</t>
    </rPh>
    <phoneticPr fontId="4"/>
  </si>
  <si>
    <t>売上高
(億円)</t>
    <rPh sb="0" eb="2">
      <t>ウリアゲ</t>
    </rPh>
    <rPh sb="2" eb="3">
      <t>ダカ</t>
    </rPh>
    <rPh sb="5" eb="7">
      <t>オクエン</t>
    </rPh>
    <phoneticPr fontId="4"/>
  </si>
  <si>
    <t>営業利益
(億円)</t>
    <rPh sb="0" eb="2">
      <t>エイギョウ</t>
    </rPh>
    <rPh sb="2" eb="4">
      <t>リエキ</t>
    </rPh>
    <rPh sb="6" eb="8">
      <t>オクエン</t>
    </rPh>
    <phoneticPr fontId="4"/>
  </si>
  <si>
    <t>営業利益率
(%)</t>
    <rPh sb="0" eb="2">
      <t>エイギョウ</t>
    </rPh>
    <rPh sb="2" eb="4">
      <t>リエキ</t>
    </rPh>
    <rPh sb="4" eb="5">
      <t>リツ</t>
    </rPh>
    <phoneticPr fontId="4"/>
  </si>
  <si>
    <t>21年予</t>
    <rPh sb="2" eb="3">
      <t>ネン</t>
    </rPh>
    <rPh sb="3" eb="4">
      <t>ヨ</t>
    </rPh>
    <phoneticPr fontId="4"/>
  </si>
  <si>
    <t>10年比
営利増加率</t>
    <rPh sb="2" eb="3">
      <t>ネン</t>
    </rPh>
    <rPh sb="3" eb="4">
      <t>ヒ</t>
    </rPh>
    <rPh sb="5" eb="7">
      <t>エイリ</t>
    </rPh>
    <rPh sb="6" eb="7">
      <t>リ</t>
    </rPh>
    <rPh sb="7" eb="9">
      <t>ゾウカ</t>
    </rPh>
    <rPh sb="9" eb="10">
      <t>リツ</t>
    </rPh>
    <phoneticPr fontId="4"/>
  </si>
  <si>
    <t>10年比
経利増加率</t>
    <rPh sb="2" eb="3">
      <t>ネン</t>
    </rPh>
    <rPh sb="3" eb="4">
      <t>ヒ</t>
    </rPh>
    <rPh sb="5" eb="6">
      <t>キョウ</t>
    </rPh>
    <rPh sb="6" eb="7">
      <t>リ</t>
    </rPh>
    <rPh sb="7" eb="9">
      <t>ゾウカ</t>
    </rPh>
    <rPh sb="8" eb="9">
      <t>リエキ</t>
    </rPh>
    <rPh sb="9" eb="10">
      <t>リツ</t>
    </rPh>
    <phoneticPr fontId="4"/>
  </si>
  <si>
    <t>株主資本
(億円)</t>
    <rPh sb="0" eb="2">
      <t>カブヌシ</t>
    </rPh>
    <rPh sb="2" eb="4">
      <t>シホン</t>
    </rPh>
    <rPh sb="6" eb="8">
      <t>オクエン</t>
    </rPh>
    <phoneticPr fontId="4"/>
  </si>
  <si>
    <t>高周波熱錬</t>
    <rPh sb="0" eb="3">
      <t>コウシュウハ</t>
    </rPh>
    <rPh sb="3" eb="5">
      <t>ネツレン</t>
    </rPh>
    <phoneticPr fontId="4"/>
  </si>
  <si>
    <t>株価
(21/1/12)</t>
    <rPh sb="0" eb="2">
      <t>カブカ</t>
    </rPh>
    <phoneticPr fontId="4"/>
  </si>
  <si>
    <t>QUOカード
保有1年後</t>
    <rPh sb="7" eb="9">
      <t>ホユウ</t>
    </rPh>
    <rPh sb="10" eb="11">
      <t>ネン</t>
    </rPh>
    <rPh sb="11" eb="12">
      <t>ゴ</t>
    </rPh>
    <phoneticPr fontId="4"/>
  </si>
  <si>
    <t>誘電加熱加工大手。加工受託、横・ばね鋼等主力</t>
    <rPh sb="0" eb="2">
      <t>ユウデン</t>
    </rPh>
    <rPh sb="2" eb="4">
      <t>カネツ</t>
    </rPh>
    <rPh sb="4" eb="6">
      <t>カコウ</t>
    </rPh>
    <rPh sb="6" eb="8">
      <t>オオテ</t>
    </rPh>
    <rPh sb="9" eb="11">
      <t>カコウ</t>
    </rPh>
    <rPh sb="11" eb="13">
      <t>ジュタク</t>
    </rPh>
    <rPh sb="14" eb="15">
      <t>ヨコ</t>
    </rPh>
    <rPh sb="18" eb="19">
      <t>ハガネ</t>
    </rPh>
    <rPh sb="19" eb="20">
      <t>ナド</t>
    </rPh>
    <rPh sb="20" eb="22">
      <t>シュリョク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</si>
</sst>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;[Red]\-#,##0.0"/>
    <numFmt numFmtId="177" formatCode="0.0%"/>
  </numFmts>
  <fonts count="25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rgb="FF3333FF"/>
      <name val="游ゴシック"/>
      <family val="3"/>
      <charset val="128"/>
      <scheme val="minor"/>
    </font>
    <font>
      <sz val="11"/>
      <color rgb="FF3333FF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u/>
      <sz val="16"/>
      <color theme="10"/>
      <name val="游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1"/>
      <color rgb="FF0000FF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14"/>
      <color rgb="FF0000FF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4"/>
      <color rgb="FF3333FF"/>
      <name val="游ゴシック"/>
      <family val="3"/>
      <charset val="128"/>
      <scheme val="minor"/>
    </font>
    <font>
      <sz val="11"/>
      <color rgb="FF0000FF"/>
      <name val="游ゴシック"/>
      <family val="3"/>
      <charset val="128"/>
      <scheme val="minor"/>
    </font>
    <font>
      <sz val="11"/>
      <color theme="2" tint="-0.249977111117893"/>
      <name val="游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25">
    <xf numFmtId="0" fontId="0" fillId="0" borderId="0" xfId="0">
      <alignment vertical="center"/>
    </xf>
    <xf numFmtId="176" fontId="0" fillId="0" borderId="0" xfId="1" applyNumberFormat="1" applyFont="1">
      <alignment vertical="center"/>
    </xf>
    <xf numFmtId="9" fontId="0" fillId="0" borderId="0" xfId="2" applyFont="1">
      <alignment vertical="center"/>
    </xf>
    <xf numFmtId="177" fontId="0" fillId="0" borderId="0" xfId="2" applyNumberFormat="1" applyFont="1">
      <alignment vertical="center"/>
    </xf>
    <xf numFmtId="10" fontId="0" fillId="0" borderId="0" xfId="2" applyNumberFormat="1" applyFont="1">
      <alignment vertical="center"/>
    </xf>
    <xf numFmtId="40" fontId="0" fillId="0" borderId="0" xfId="1" applyNumberFormat="1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176" fontId="2" fillId="0" borderId="0" xfId="1" applyNumberFormat="1" applyFont="1">
      <alignment vertical="center"/>
    </xf>
    <xf numFmtId="0" fontId="5" fillId="0" borderId="1" xfId="0" applyFont="1" applyBorder="1">
      <alignment vertical="center"/>
    </xf>
    <xf numFmtId="0" fontId="5" fillId="5" borderId="1" xfId="0" applyFont="1" applyFill="1" applyBorder="1">
      <alignment vertical="center"/>
    </xf>
    <xf numFmtId="176" fontId="5" fillId="5" borderId="1" xfId="1" applyNumberFormat="1" applyFont="1" applyFill="1" applyBorder="1">
      <alignment vertical="center"/>
    </xf>
    <xf numFmtId="9" fontId="5" fillId="5" borderId="1" xfId="2" applyFont="1" applyFill="1" applyBorder="1">
      <alignment vertical="center"/>
    </xf>
    <xf numFmtId="177" fontId="5" fillId="0" borderId="1" xfId="2" applyNumberFormat="1" applyFont="1" applyBorder="1">
      <alignment vertical="center"/>
    </xf>
    <xf numFmtId="10" fontId="5" fillId="0" borderId="1" xfId="2" applyNumberFormat="1" applyFont="1" applyBorder="1">
      <alignment vertical="center"/>
    </xf>
    <xf numFmtId="40" fontId="0" fillId="0" borderId="1" xfId="1" applyNumberFormat="1" applyFont="1" applyBorder="1">
      <alignment vertical="center"/>
    </xf>
    <xf numFmtId="0" fontId="0" fillId="5" borderId="1" xfId="0" applyFill="1" applyBorder="1">
      <alignment vertical="center"/>
    </xf>
    <xf numFmtId="40" fontId="7" fillId="0" borderId="1" xfId="1" applyNumberFormat="1" applyFont="1" applyBorder="1">
      <alignment vertical="center"/>
    </xf>
    <xf numFmtId="0" fontId="8" fillId="0" borderId="0" xfId="0" applyFont="1">
      <alignment vertical="center"/>
    </xf>
    <xf numFmtId="0" fontId="9" fillId="5" borderId="1" xfId="0" applyFont="1" applyFill="1" applyBorder="1">
      <alignment vertical="center"/>
    </xf>
    <xf numFmtId="38" fontId="9" fillId="0" borderId="1" xfId="1" applyFont="1" applyBorder="1">
      <alignment vertical="center"/>
    </xf>
    <xf numFmtId="176" fontId="9" fillId="5" borderId="1" xfId="1" applyNumberFormat="1" applyFont="1" applyFill="1" applyBorder="1">
      <alignment vertical="center"/>
    </xf>
    <xf numFmtId="9" fontId="9" fillId="5" borderId="1" xfId="2" applyFont="1" applyFill="1" applyBorder="1">
      <alignment vertical="center"/>
    </xf>
    <xf numFmtId="0" fontId="9" fillId="5" borderId="1" xfId="0" applyFont="1" applyFill="1" applyBorder="1" applyAlignment="1">
      <alignment vertical="center" wrapText="1"/>
    </xf>
    <xf numFmtId="177" fontId="9" fillId="0" borderId="1" xfId="2" applyNumberFormat="1" applyFont="1" applyBorder="1">
      <alignment vertical="center"/>
    </xf>
    <xf numFmtId="10" fontId="9" fillId="0" borderId="1" xfId="2" applyNumberFormat="1" applyFont="1" applyBorder="1">
      <alignment vertical="center"/>
    </xf>
    <xf numFmtId="40" fontId="8" fillId="0" borderId="1" xfId="1" applyNumberFormat="1" applyFont="1" applyBorder="1">
      <alignment vertical="center"/>
    </xf>
    <xf numFmtId="0" fontId="8" fillId="5" borderId="1" xfId="0" applyFont="1" applyFill="1" applyBorder="1">
      <alignment vertical="center"/>
    </xf>
    <xf numFmtId="40" fontId="9" fillId="0" borderId="1" xfId="1" applyNumberFormat="1" applyFont="1" applyBorder="1">
      <alignment vertical="center"/>
    </xf>
    <xf numFmtId="0" fontId="0" fillId="0" borderId="1" xfId="0" applyBorder="1">
      <alignment vertical="center"/>
    </xf>
    <xf numFmtId="176" fontId="0" fillId="5" borderId="1" xfId="1" applyNumberFormat="1" applyFont="1" applyFill="1" applyBorder="1">
      <alignment vertical="center"/>
    </xf>
    <xf numFmtId="9" fontId="0" fillId="5" borderId="1" xfId="2" applyFont="1" applyFill="1" applyBorder="1">
      <alignment vertical="center"/>
    </xf>
    <xf numFmtId="177" fontId="0" fillId="0" borderId="1" xfId="2" applyNumberFormat="1" applyFont="1" applyBorder="1">
      <alignment vertical="center"/>
    </xf>
    <xf numFmtId="10" fontId="0" fillId="0" borderId="1" xfId="2" applyNumberFormat="1" applyFont="1" applyBorder="1">
      <alignment vertical="center"/>
    </xf>
    <xf numFmtId="0" fontId="0" fillId="0" borderId="2" xfId="0" applyBorder="1">
      <alignment vertical="center"/>
    </xf>
    <xf numFmtId="177" fontId="0" fillId="0" borderId="1" xfId="2" applyNumberFormat="1" applyFont="1" applyFill="1" applyBorder="1">
      <alignment vertical="center"/>
    </xf>
    <xf numFmtId="10" fontId="0" fillId="0" borderId="1" xfId="2" applyNumberFormat="1" applyFont="1" applyFill="1" applyBorder="1">
      <alignment vertical="center"/>
    </xf>
    <xf numFmtId="40" fontId="0" fillId="0" borderId="1" xfId="1" applyNumberFormat="1" applyFont="1" applyFill="1" applyBorder="1">
      <alignment vertical="center"/>
    </xf>
    <xf numFmtId="0" fontId="0" fillId="0" borderId="0" xfId="0" applyFill="1">
      <alignment vertical="center"/>
    </xf>
    <xf numFmtId="177" fontId="5" fillId="6" borderId="1" xfId="2" applyNumberFormat="1" applyFont="1" applyFill="1" applyBorder="1" applyAlignment="1">
      <alignment vertical="center" wrapText="1"/>
    </xf>
    <xf numFmtId="10" fontId="5" fillId="6" borderId="1" xfId="2" applyNumberFormat="1" applyFont="1" applyFill="1" applyBorder="1" applyAlignment="1">
      <alignment vertical="center" wrapText="1"/>
    </xf>
    <xf numFmtId="177" fontId="6" fillId="6" borderId="1" xfId="2" applyNumberFormat="1" applyFont="1" applyFill="1" applyBorder="1" applyAlignment="1">
      <alignment vertical="center" wrapText="1"/>
    </xf>
    <xf numFmtId="40" fontId="0" fillId="6" borderId="1" xfId="1" applyNumberFormat="1" applyFont="1" applyFill="1" applyBorder="1" applyAlignment="1">
      <alignment vertical="center" wrapText="1"/>
    </xf>
    <xf numFmtId="0" fontId="0" fillId="6" borderId="1" xfId="0" applyFill="1" applyBorder="1" applyAlignment="1">
      <alignment vertical="center" wrapText="1"/>
    </xf>
    <xf numFmtId="0" fontId="0" fillId="6" borderId="0" xfId="0" applyFill="1">
      <alignment vertical="center"/>
    </xf>
    <xf numFmtId="9" fontId="0" fillId="0" borderId="1" xfId="2" applyFont="1" applyBorder="1">
      <alignment vertical="center"/>
    </xf>
    <xf numFmtId="177" fontId="5" fillId="6" borderId="3" xfId="2" applyNumberFormat="1" applyFont="1" applyFill="1" applyBorder="1" applyAlignment="1">
      <alignment vertical="center" wrapText="1"/>
    </xf>
    <xf numFmtId="177" fontId="5" fillId="0" borderId="3" xfId="2" applyNumberFormat="1" applyFont="1" applyBorder="1">
      <alignment vertical="center"/>
    </xf>
    <xf numFmtId="177" fontId="9" fillId="0" borderId="3" xfId="2" applyNumberFormat="1" applyFont="1" applyBorder="1">
      <alignment vertical="center"/>
    </xf>
    <xf numFmtId="177" fontId="0" fillId="0" borderId="3" xfId="2" applyNumberFormat="1" applyFont="1" applyBorder="1">
      <alignment vertical="center"/>
    </xf>
    <xf numFmtId="0" fontId="0" fillId="5" borderId="4" xfId="0" applyFill="1" applyBorder="1">
      <alignment vertical="center"/>
    </xf>
    <xf numFmtId="0" fontId="0" fillId="0" borderId="4" xfId="0" applyBorder="1">
      <alignment vertical="center"/>
    </xf>
    <xf numFmtId="176" fontId="0" fillId="5" borderId="4" xfId="1" applyNumberFormat="1" applyFont="1" applyFill="1" applyBorder="1">
      <alignment vertical="center"/>
    </xf>
    <xf numFmtId="9" fontId="0" fillId="5" borderId="4" xfId="2" applyFont="1" applyFill="1" applyBorder="1">
      <alignment vertical="center"/>
    </xf>
    <xf numFmtId="0" fontId="5" fillId="6" borderId="5" xfId="0" applyFont="1" applyFill="1" applyBorder="1">
      <alignment vertical="center"/>
    </xf>
    <xf numFmtId="0" fontId="5" fillId="6" borderId="6" xfId="0" applyFont="1" applyFill="1" applyBorder="1">
      <alignment vertical="center"/>
    </xf>
    <xf numFmtId="0" fontId="5" fillId="6" borderId="6" xfId="0" applyFont="1" applyFill="1" applyBorder="1" applyAlignment="1">
      <alignment vertical="center" wrapText="1"/>
    </xf>
    <xf numFmtId="176" fontId="5" fillId="6" borderId="6" xfId="1" applyNumberFormat="1" applyFont="1" applyFill="1" applyBorder="1" applyAlignment="1">
      <alignment vertical="center" wrapText="1"/>
    </xf>
    <xf numFmtId="9" fontId="5" fillId="6" borderId="6" xfId="2" applyFont="1" applyFill="1" applyBorder="1" applyAlignment="1">
      <alignment vertical="center" wrapText="1"/>
    </xf>
    <xf numFmtId="0" fontId="5" fillId="6" borderId="7" xfId="0" applyFont="1" applyFill="1" applyBorder="1" applyAlignment="1">
      <alignment vertical="center" wrapText="1"/>
    </xf>
    <xf numFmtId="0" fontId="5" fillId="5" borderId="8" xfId="0" applyFont="1" applyFill="1" applyBorder="1">
      <alignment vertical="center"/>
    </xf>
    <xf numFmtId="0" fontId="5" fillId="5" borderId="9" xfId="0" applyFont="1" applyFill="1" applyBorder="1">
      <alignment vertical="center"/>
    </xf>
    <xf numFmtId="0" fontId="9" fillId="5" borderId="8" xfId="0" applyFont="1" applyFill="1" applyBorder="1">
      <alignment vertical="center"/>
    </xf>
    <xf numFmtId="0" fontId="9" fillId="5" borderId="9" xfId="0" applyFont="1" applyFill="1" applyBorder="1" applyAlignment="1">
      <alignment vertical="center" wrapText="1"/>
    </xf>
    <xf numFmtId="0" fontId="9" fillId="5" borderId="9" xfId="0" applyFont="1" applyFill="1" applyBorder="1">
      <alignment vertical="center"/>
    </xf>
    <xf numFmtId="0" fontId="0" fillId="5" borderId="8" xfId="0" applyFill="1" applyBorder="1">
      <alignment vertical="center"/>
    </xf>
    <xf numFmtId="0" fontId="0" fillId="5" borderId="9" xfId="0" applyFill="1" applyBorder="1">
      <alignment vertical="center"/>
    </xf>
    <xf numFmtId="0" fontId="13" fillId="0" borderId="10" xfId="0" applyFont="1" applyFill="1" applyBorder="1">
      <alignment vertical="center"/>
    </xf>
    <xf numFmtId="0" fontId="13" fillId="0" borderId="11" xfId="0" applyFont="1" applyFill="1" applyBorder="1">
      <alignment vertical="center"/>
    </xf>
    <xf numFmtId="176" fontId="13" fillId="0" borderId="11" xfId="1" applyNumberFormat="1" applyFont="1" applyFill="1" applyBorder="1">
      <alignment vertical="center"/>
    </xf>
    <xf numFmtId="9" fontId="13" fillId="0" borderId="11" xfId="2" applyFont="1" applyFill="1" applyBorder="1">
      <alignment vertical="center"/>
    </xf>
    <xf numFmtId="0" fontId="8" fillId="0" borderId="0" xfId="0" applyFont="1" applyFill="1">
      <alignment vertical="center"/>
    </xf>
    <xf numFmtId="177" fontId="0" fillId="0" borderId="4" xfId="2" applyNumberFormat="1" applyFont="1" applyBorder="1">
      <alignment vertical="center"/>
    </xf>
    <xf numFmtId="10" fontId="0" fillId="0" borderId="4" xfId="2" applyNumberFormat="1" applyFont="1" applyBorder="1">
      <alignment vertical="center"/>
    </xf>
    <xf numFmtId="40" fontId="0" fillId="0" borderId="4" xfId="1" applyNumberFormat="1" applyFont="1" applyBorder="1">
      <alignment vertical="center"/>
    </xf>
    <xf numFmtId="177" fontId="5" fillId="6" borderId="6" xfId="2" applyNumberFormat="1" applyFont="1" applyFill="1" applyBorder="1" applyAlignment="1">
      <alignment vertical="center" wrapText="1"/>
    </xf>
    <xf numFmtId="10" fontId="5" fillId="6" borderId="6" xfId="2" applyNumberFormat="1" applyFont="1" applyFill="1" applyBorder="1" applyAlignment="1">
      <alignment vertical="center" wrapText="1"/>
    </xf>
    <xf numFmtId="177" fontId="6" fillId="6" borderId="6" xfId="2" applyNumberFormat="1" applyFont="1" applyFill="1" applyBorder="1" applyAlignment="1">
      <alignment vertical="center" wrapText="1"/>
    </xf>
    <xf numFmtId="40" fontId="5" fillId="6" borderId="6" xfId="1" applyNumberFormat="1" applyFont="1" applyFill="1" applyBorder="1" applyAlignment="1">
      <alignment vertical="center" wrapText="1"/>
    </xf>
    <xf numFmtId="177" fontId="14" fillId="0" borderId="11" xfId="2" applyNumberFormat="1" applyFont="1" applyFill="1" applyBorder="1">
      <alignment vertical="center"/>
    </xf>
    <xf numFmtId="40" fontId="14" fillId="0" borderId="11" xfId="1" applyNumberFormat="1" applyFont="1" applyFill="1" applyBorder="1">
      <alignment vertical="center"/>
    </xf>
    <xf numFmtId="0" fontId="0" fillId="0" borderId="11" xfId="0" applyFill="1" applyBorder="1" applyAlignment="1">
      <alignment vertical="center" wrapText="1"/>
    </xf>
    <xf numFmtId="0" fontId="5" fillId="0" borderId="0" xfId="0" applyFont="1">
      <alignment vertical="center"/>
    </xf>
    <xf numFmtId="176" fontId="15" fillId="0" borderId="1" xfId="1" applyNumberFormat="1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>
      <alignment vertical="center"/>
    </xf>
    <xf numFmtId="0" fontId="5" fillId="0" borderId="10" xfId="0" applyFont="1" applyBorder="1">
      <alignment vertical="center"/>
    </xf>
    <xf numFmtId="176" fontId="15" fillId="0" borderId="11" xfId="1" applyNumberFormat="1" applyFont="1" applyBorder="1">
      <alignment vertical="center"/>
    </xf>
    <xf numFmtId="0" fontId="5" fillId="0" borderId="13" xfId="0" applyFont="1" applyBorder="1" applyAlignment="1">
      <alignment vertical="center" wrapText="1"/>
    </xf>
    <xf numFmtId="176" fontId="16" fillId="0" borderId="14" xfId="1" applyNumberFormat="1" applyFont="1" applyBorder="1">
      <alignment vertical="center"/>
    </xf>
    <xf numFmtId="176" fontId="16" fillId="0" borderId="15" xfId="1" applyNumberFormat="1" applyFont="1" applyBorder="1">
      <alignment vertical="center"/>
    </xf>
    <xf numFmtId="9" fontId="16" fillId="0" borderId="9" xfId="2" applyFont="1" applyBorder="1">
      <alignment vertical="center"/>
    </xf>
    <xf numFmtId="0" fontId="13" fillId="0" borderId="11" xfId="0" applyFont="1" applyFill="1" applyBorder="1" applyAlignment="1">
      <alignment vertical="center" wrapText="1"/>
    </xf>
    <xf numFmtId="0" fontId="5" fillId="0" borderId="16" xfId="0" applyFont="1" applyBorder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40" fontId="0" fillId="0" borderId="0" xfId="1" applyNumberFormat="1" applyFont="1" applyBorder="1">
      <alignment vertical="center"/>
    </xf>
    <xf numFmtId="40" fontId="5" fillId="6" borderId="18" xfId="1" applyNumberFormat="1" applyFont="1" applyFill="1" applyBorder="1" applyAlignment="1">
      <alignment vertical="center" wrapText="1"/>
    </xf>
    <xf numFmtId="40" fontId="0" fillId="0" borderId="19" xfId="1" applyNumberFormat="1" applyFont="1" applyBorder="1">
      <alignment vertical="center"/>
    </xf>
    <xf numFmtId="40" fontId="7" fillId="0" borderId="19" xfId="1" applyNumberFormat="1" applyFont="1" applyBorder="1">
      <alignment vertical="center"/>
    </xf>
    <xf numFmtId="40" fontId="8" fillId="0" borderId="19" xfId="1" applyNumberFormat="1" applyFont="1" applyBorder="1">
      <alignment vertical="center"/>
    </xf>
    <xf numFmtId="40" fontId="9" fillId="0" borderId="19" xfId="1" applyNumberFormat="1" applyFont="1" applyBorder="1">
      <alignment vertical="center"/>
    </xf>
    <xf numFmtId="0" fontId="8" fillId="5" borderId="9" xfId="0" applyFont="1" applyFill="1" applyBorder="1">
      <alignment vertical="center"/>
    </xf>
    <xf numFmtId="0" fontId="17" fillId="0" borderId="1" xfId="0" applyFont="1" applyFill="1" applyBorder="1">
      <alignment vertical="center"/>
    </xf>
    <xf numFmtId="0" fontId="5" fillId="0" borderId="12" xfId="0" applyFont="1" applyFill="1" applyBorder="1" applyAlignment="1">
      <alignment vertical="center" wrapText="1"/>
    </xf>
    <xf numFmtId="9" fontId="16" fillId="0" borderId="12" xfId="2" applyFont="1" applyBorder="1">
      <alignment vertical="center"/>
    </xf>
    <xf numFmtId="9" fontId="15" fillId="0" borderId="9" xfId="2" applyFont="1" applyBorder="1">
      <alignment vertical="center"/>
    </xf>
    <xf numFmtId="177" fontId="16" fillId="0" borderId="9" xfId="2" applyNumberFormat="1" applyFont="1" applyBorder="1">
      <alignment vertical="center"/>
    </xf>
    <xf numFmtId="38" fontId="0" fillId="0" borderId="1" xfId="1" applyFont="1" applyBorder="1">
      <alignment vertical="center"/>
    </xf>
    <xf numFmtId="0" fontId="5" fillId="0" borderId="4" xfId="0" applyFont="1" applyBorder="1">
      <alignment vertical="center"/>
    </xf>
    <xf numFmtId="9" fontId="0" fillId="0" borderId="4" xfId="2" applyFont="1" applyBorder="1">
      <alignment vertical="center"/>
    </xf>
    <xf numFmtId="0" fontId="0" fillId="0" borderId="5" xfId="0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7" xfId="0" applyBorder="1">
      <alignment vertical="center"/>
    </xf>
    <xf numFmtId="9" fontId="0" fillId="0" borderId="9" xfId="2" applyFont="1" applyBorder="1">
      <alignment vertical="center"/>
    </xf>
    <xf numFmtId="9" fontId="0" fillId="0" borderId="12" xfId="2" applyFont="1" applyBorder="1">
      <alignment vertical="center"/>
    </xf>
    <xf numFmtId="0" fontId="0" fillId="0" borderId="6" xfId="0" applyBorder="1">
      <alignment vertical="center"/>
    </xf>
    <xf numFmtId="0" fontId="0" fillId="0" borderId="7" xfId="0" applyFill="1" applyBorder="1" applyAlignment="1">
      <alignment vertical="center" wrapText="1"/>
    </xf>
    <xf numFmtId="177" fontId="0" fillId="0" borderId="9" xfId="2" applyNumberFormat="1" applyFont="1" applyBorder="1">
      <alignment vertical="center"/>
    </xf>
    <xf numFmtId="9" fontId="16" fillId="0" borderId="1" xfId="2" applyFont="1" applyBorder="1">
      <alignment vertical="center"/>
    </xf>
    <xf numFmtId="176" fontId="16" fillId="0" borderId="1" xfId="1" applyNumberFormat="1" applyFont="1" applyBorder="1">
      <alignment vertical="center"/>
    </xf>
    <xf numFmtId="38" fontId="0" fillId="0" borderId="0" xfId="0" applyNumberFormat="1">
      <alignment vertical="center"/>
    </xf>
    <xf numFmtId="0" fontId="5" fillId="0" borderId="0" xfId="0" applyFont="1" applyBorder="1">
      <alignment vertical="center"/>
    </xf>
    <xf numFmtId="0" fontId="0" fillId="0" borderId="0" xfId="0" applyBorder="1">
      <alignment vertical="center"/>
    </xf>
    <xf numFmtId="9" fontId="0" fillId="0" borderId="0" xfId="2" applyFont="1" applyBorder="1">
      <alignment vertical="center"/>
    </xf>
    <xf numFmtId="177" fontId="0" fillId="0" borderId="0" xfId="2" applyNumberFormat="1" applyFont="1" applyBorder="1">
      <alignment vertical="center"/>
    </xf>
    <xf numFmtId="38" fontId="0" fillId="0" borderId="11" xfId="1" applyFont="1" applyBorder="1">
      <alignment vertical="center"/>
    </xf>
    <xf numFmtId="0" fontId="21" fillId="0" borderId="12" xfId="0" applyFont="1" applyFill="1" applyBorder="1" applyAlignment="1">
      <alignment vertical="center" wrapText="1"/>
    </xf>
    <xf numFmtId="0" fontId="5" fillId="0" borderId="10" xfId="0" applyFont="1" applyFill="1" applyBorder="1">
      <alignment vertical="center"/>
    </xf>
    <xf numFmtId="10" fontId="0" fillId="0" borderId="3" xfId="2" applyNumberFormat="1" applyFont="1" applyFill="1" applyBorder="1">
      <alignment vertical="center"/>
    </xf>
    <xf numFmtId="10" fontId="14" fillId="0" borderId="11" xfId="2" applyNumberFormat="1" applyFont="1" applyFill="1" applyBorder="1">
      <alignment vertical="center"/>
    </xf>
    <xf numFmtId="0" fontId="15" fillId="0" borderId="5" xfId="0" applyFont="1" applyBorder="1">
      <alignment vertical="center"/>
    </xf>
    <xf numFmtId="0" fontId="15" fillId="0" borderId="6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0" borderId="8" xfId="0" applyFont="1" applyBorder="1">
      <alignment vertical="center"/>
    </xf>
    <xf numFmtId="0" fontId="15" fillId="0" borderId="1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6" fontId="16" fillId="0" borderId="0" xfId="1" applyNumberFormat="1" applyFont="1" applyBorder="1">
      <alignment vertical="center"/>
    </xf>
    <xf numFmtId="0" fontId="15" fillId="0" borderId="11" xfId="0" applyFont="1" applyFill="1" applyBorder="1">
      <alignment vertical="center"/>
    </xf>
    <xf numFmtId="176" fontId="15" fillId="0" borderId="11" xfId="1" applyNumberFormat="1" applyFont="1" applyFill="1" applyBorder="1">
      <alignment vertical="center"/>
    </xf>
    <xf numFmtId="3" fontId="15" fillId="0" borderId="11" xfId="0" applyNumberFormat="1" applyFont="1" applyFill="1" applyBorder="1">
      <alignment vertical="center"/>
    </xf>
    <xf numFmtId="0" fontId="15" fillId="0" borderId="18" xfId="0" applyFont="1" applyBorder="1" applyAlignment="1">
      <alignment vertical="center" wrapText="1"/>
    </xf>
    <xf numFmtId="177" fontId="15" fillId="0" borderId="1" xfId="2" applyNumberFormat="1" applyFont="1" applyBorder="1" applyAlignment="1">
      <alignment vertical="center" wrapText="1"/>
    </xf>
    <xf numFmtId="177" fontId="16" fillId="0" borderId="4" xfId="2" applyNumberFormat="1" applyFont="1" applyFill="1" applyBorder="1">
      <alignment vertical="center"/>
    </xf>
    <xf numFmtId="9" fontId="5" fillId="6" borderId="30" xfId="2" applyFont="1" applyFill="1" applyBorder="1" applyAlignment="1">
      <alignment vertical="center" wrapText="1"/>
    </xf>
    <xf numFmtId="9" fontId="5" fillId="5" borderId="3" xfId="2" applyFont="1" applyFill="1" applyBorder="1">
      <alignment vertical="center"/>
    </xf>
    <xf numFmtId="9" fontId="9" fillId="5" borderId="3" xfId="2" applyFont="1" applyFill="1" applyBorder="1">
      <alignment vertical="center"/>
    </xf>
    <xf numFmtId="9" fontId="0" fillId="5" borderId="3" xfId="2" applyFont="1" applyFill="1" applyBorder="1">
      <alignment vertical="center"/>
    </xf>
    <xf numFmtId="9" fontId="15" fillId="0" borderId="29" xfId="2" applyFont="1" applyFill="1" applyBorder="1">
      <alignment vertical="center"/>
    </xf>
    <xf numFmtId="9" fontId="0" fillId="5" borderId="31" xfId="2" applyFont="1" applyFill="1" applyBorder="1">
      <alignment vertical="center"/>
    </xf>
    <xf numFmtId="176" fontId="5" fillId="5" borderId="9" xfId="1" applyNumberFormat="1" applyFont="1" applyFill="1" applyBorder="1">
      <alignment vertical="center"/>
    </xf>
    <xf numFmtId="176" fontId="9" fillId="5" borderId="9" xfId="1" applyNumberFormat="1" applyFont="1" applyFill="1" applyBorder="1">
      <alignment vertical="center"/>
    </xf>
    <xf numFmtId="176" fontId="0" fillId="5" borderId="9" xfId="1" applyNumberFormat="1" applyFont="1" applyFill="1" applyBorder="1">
      <alignment vertical="center"/>
    </xf>
    <xf numFmtId="0" fontId="5" fillId="5" borderId="16" xfId="0" applyFont="1" applyFill="1" applyBorder="1">
      <alignment vertical="center"/>
    </xf>
    <xf numFmtId="0" fontId="5" fillId="5" borderId="4" xfId="0" applyFont="1" applyFill="1" applyBorder="1">
      <alignment vertical="center"/>
    </xf>
    <xf numFmtId="176" fontId="5" fillId="5" borderId="17" xfId="1" applyNumberFormat="1" applyFont="1" applyFill="1" applyBorder="1">
      <alignment vertical="center"/>
    </xf>
    <xf numFmtId="0" fontId="0" fillId="0" borderId="26" xfId="0" applyBorder="1">
      <alignment vertical="center"/>
    </xf>
    <xf numFmtId="0" fontId="0" fillId="0" borderId="23" xfId="0" applyBorder="1">
      <alignment vertical="center"/>
    </xf>
    <xf numFmtId="176" fontId="0" fillId="0" borderId="27" xfId="1" applyNumberFormat="1" applyFont="1" applyBorder="1">
      <alignment vertical="center"/>
    </xf>
    <xf numFmtId="0" fontId="3" fillId="0" borderId="0" xfId="3" applyFill="1">
      <alignment vertical="center"/>
    </xf>
    <xf numFmtId="0" fontId="10" fillId="0" borderId="0" xfId="3" applyFont="1" applyFill="1">
      <alignment vertical="center"/>
    </xf>
    <xf numFmtId="0" fontId="9" fillId="0" borderId="2" xfId="0" applyFont="1" applyBorder="1">
      <alignment vertical="center"/>
    </xf>
    <xf numFmtId="0" fontId="15" fillId="0" borderId="1" xfId="0" applyFont="1" applyFill="1" applyBorder="1" applyAlignment="1">
      <alignment vertical="center" wrapText="1"/>
    </xf>
    <xf numFmtId="0" fontId="9" fillId="0" borderId="1" xfId="0" applyFont="1" applyFill="1" applyBorder="1">
      <alignment vertical="center"/>
    </xf>
    <xf numFmtId="176" fontId="9" fillId="0" borderId="9" xfId="1" applyNumberFormat="1" applyFont="1" applyFill="1" applyBorder="1">
      <alignment vertical="center"/>
    </xf>
    <xf numFmtId="0" fontId="9" fillId="0" borderId="8" xfId="0" applyFont="1" applyFill="1" applyBorder="1">
      <alignment vertical="center"/>
    </xf>
    <xf numFmtId="177" fontId="9" fillId="0" borderId="21" xfId="2" applyNumberFormat="1" applyFont="1" applyBorder="1">
      <alignment vertical="center"/>
    </xf>
    <xf numFmtId="177" fontId="9" fillId="0" borderId="20" xfId="2" applyNumberFormat="1" applyFont="1" applyBorder="1">
      <alignment vertical="center"/>
    </xf>
    <xf numFmtId="40" fontId="9" fillId="0" borderId="20" xfId="1" applyNumberFormat="1" applyFont="1" applyBorder="1">
      <alignment vertical="center"/>
    </xf>
    <xf numFmtId="40" fontId="9" fillId="0" borderId="22" xfId="1" applyNumberFormat="1" applyFont="1" applyBorder="1">
      <alignment vertical="center"/>
    </xf>
    <xf numFmtId="177" fontId="15" fillId="6" borderId="32" xfId="2" applyNumberFormat="1" applyFont="1" applyFill="1" applyBorder="1" applyAlignment="1">
      <alignment vertical="center" wrapText="1"/>
    </xf>
    <xf numFmtId="177" fontId="15" fillId="6" borderId="33" xfId="2" applyNumberFormat="1" applyFont="1" applyFill="1" applyBorder="1" applyAlignment="1">
      <alignment vertical="center" wrapText="1"/>
    </xf>
    <xf numFmtId="10" fontId="15" fillId="6" borderId="33" xfId="2" applyNumberFormat="1" applyFont="1" applyFill="1" applyBorder="1" applyAlignment="1">
      <alignment vertical="center" wrapText="1"/>
    </xf>
    <xf numFmtId="177" fontId="22" fillId="6" borderId="33" xfId="2" applyNumberFormat="1" applyFont="1" applyFill="1" applyBorder="1" applyAlignment="1">
      <alignment vertical="center" wrapText="1"/>
    </xf>
    <xf numFmtId="40" fontId="15" fillId="6" borderId="33" xfId="1" applyNumberFormat="1" applyFont="1" applyFill="1" applyBorder="1" applyAlignment="1">
      <alignment vertical="center" wrapText="1"/>
    </xf>
    <xf numFmtId="40" fontId="15" fillId="6" borderId="34" xfId="1" applyNumberFormat="1" applyFont="1" applyFill="1" applyBorder="1" applyAlignment="1">
      <alignment vertical="center" wrapText="1"/>
    </xf>
    <xf numFmtId="9" fontId="15" fillId="6" borderId="32" xfId="2" applyFont="1" applyFill="1" applyBorder="1" applyAlignment="1">
      <alignment vertical="center" wrapText="1"/>
    </xf>
    <xf numFmtId="176" fontId="15" fillId="6" borderId="33" xfId="1" applyNumberFormat="1" applyFont="1" applyFill="1" applyBorder="1" applyAlignment="1">
      <alignment vertical="center" wrapText="1"/>
    </xf>
    <xf numFmtId="0" fontId="15" fillId="6" borderId="33" xfId="0" applyFont="1" applyFill="1" applyBorder="1" applyAlignment="1">
      <alignment vertical="center" wrapText="1"/>
    </xf>
    <xf numFmtId="0" fontId="15" fillId="6" borderId="34" xfId="0" applyFont="1" applyFill="1" applyBorder="1" applyAlignment="1">
      <alignment vertical="center" wrapText="1"/>
    </xf>
    <xf numFmtId="0" fontId="15" fillId="6" borderId="32" xfId="0" applyFont="1" applyFill="1" applyBorder="1">
      <alignment vertical="center"/>
    </xf>
    <xf numFmtId="0" fontId="15" fillId="6" borderId="33" xfId="0" applyFont="1" applyFill="1" applyBorder="1">
      <alignment vertical="center"/>
    </xf>
    <xf numFmtId="176" fontId="15" fillId="6" borderId="34" xfId="1" applyNumberFormat="1" applyFont="1" applyFill="1" applyBorder="1" applyAlignment="1">
      <alignment vertical="center" wrapText="1"/>
    </xf>
    <xf numFmtId="176" fontId="15" fillId="0" borderId="25" xfId="1" applyNumberFormat="1" applyFont="1" applyBorder="1" applyAlignment="1">
      <alignment vertical="center" wrapText="1"/>
    </xf>
    <xf numFmtId="177" fontId="9" fillId="0" borderId="24" xfId="2" applyNumberFormat="1" applyFont="1" applyBorder="1">
      <alignment vertical="center"/>
    </xf>
    <xf numFmtId="0" fontId="9" fillId="0" borderId="2" xfId="0" applyFont="1" applyBorder="1" applyAlignment="1">
      <alignment vertical="center" wrapText="1"/>
    </xf>
    <xf numFmtId="0" fontId="23" fillId="0" borderId="0" xfId="0" applyFont="1">
      <alignment vertical="center"/>
    </xf>
    <xf numFmtId="0" fontId="0" fillId="0" borderId="11" xfId="0" applyBorder="1">
      <alignment vertical="center"/>
    </xf>
    <xf numFmtId="176" fontId="15" fillId="7" borderId="1" xfId="1" applyNumberFormat="1" applyFont="1" applyFill="1" applyBorder="1">
      <alignment vertical="center"/>
    </xf>
    <xf numFmtId="176" fontId="15" fillId="7" borderId="11" xfId="1" applyNumberFormat="1" applyFont="1" applyFill="1" applyBorder="1">
      <alignment vertical="center"/>
    </xf>
    <xf numFmtId="177" fontId="16" fillId="7" borderId="1" xfId="2" applyNumberFormat="1" applyFont="1" applyFill="1" applyBorder="1">
      <alignment vertical="center"/>
    </xf>
    <xf numFmtId="177" fontId="16" fillId="7" borderId="11" xfId="2" applyNumberFormat="1" applyFont="1" applyFill="1" applyBorder="1">
      <alignment vertical="center"/>
    </xf>
    <xf numFmtId="38" fontId="0" fillId="0" borderId="4" xfId="1" applyFont="1" applyBorder="1">
      <alignment vertical="center"/>
    </xf>
    <xf numFmtId="9" fontId="0" fillId="0" borderId="17" xfId="2" applyFont="1" applyBorder="1">
      <alignment vertical="center"/>
    </xf>
    <xf numFmtId="177" fontId="0" fillId="0" borderId="17" xfId="2" applyNumberFormat="1" applyFont="1" applyBorder="1">
      <alignment vertical="center"/>
    </xf>
    <xf numFmtId="9" fontId="0" fillId="0" borderId="11" xfId="2" applyFont="1" applyBorder="1">
      <alignment vertical="center"/>
    </xf>
    <xf numFmtId="177" fontId="0" fillId="0" borderId="12" xfId="2" applyNumberFormat="1" applyFont="1" applyBorder="1">
      <alignment vertical="center"/>
    </xf>
    <xf numFmtId="176" fontId="16" fillId="6" borderId="1" xfId="1" applyNumberFormat="1" applyFont="1" applyFill="1" applyBorder="1">
      <alignment vertical="center"/>
    </xf>
    <xf numFmtId="176" fontId="16" fillId="7" borderId="1" xfId="1" applyNumberFormat="1" applyFont="1" applyFill="1" applyBorder="1">
      <alignment vertical="center"/>
    </xf>
    <xf numFmtId="176" fontId="15" fillId="5" borderId="1" xfId="1" applyNumberFormat="1" applyFont="1" applyFill="1" applyBorder="1">
      <alignment vertical="center"/>
    </xf>
    <xf numFmtId="176" fontId="16" fillId="5" borderId="1" xfId="1" applyNumberFormat="1" applyFont="1" applyFill="1" applyBorder="1">
      <alignment vertical="center"/>
    </xf>
    <xf numFmtId="0" fontId="24" fillId="0" borderId="0" xfId="0" applyFont="1">
      <alignment vertical="center"/>
    </xf>
    <xf numFmtId="40" fontId="16" fillId="0" borderId="0" xfId="1" applyNumberFormat="1" applyFont="1" applyFill="1" applyBorder="1">
      <alignment vertical="center"/>
    </xf>
    <xf numFmtId="176" fontId="20" fillId="7" borderId="11" xfId="1" applyNumberFormat="1" applyFont="1" applyFill="1" applyBorder="1">
      <alignment vertical="center"/>
    </xf>
    <xf numFmtId="0" fontId="5" fillId="0" borderId="21" xfId="0" applyFont="1" applyBorder="1">
      <alignment vertical="center"/>
    </xf>
    <xf numFmtId="176" fontId="16" fillId="6" borderId="20" xfId="1" applyNumberFormat="1" applyFont="1" applyFill="1" applyBorder="1">
      <alignment vertical="center"/>
    </xf>
    <xf numFmtId="177" fontId="16" fillId="0" borderId="20" xfId="2" applyNumberFormat="1" applyFont="1" applyFill="1" applyBorder="1">
      <alignment vertical="center"/>
    </xf>
    <xf numFmtId="176" fontId="16" fillId="0" borderId="20" xfId="1" applyNumberFormat="1" applyFont="1" applyBorder="1">
      <alignment vertical="center"/>
    </xf>
    <xf numFmtId="177" fontId="16" fillId="0" borderId="22" xfId="2" applyNumberFormat="1" applyFont="1" applyBorder="1">
      <alignment vertical="center"/>
    </xf>
    <xf numFmtId="177" fontId="16" fillId="0" borderId="1" xfId="2" applyNumberFormat="1" applyFont="1" applyFill="1" applyBorder="1">
      <alignment vertical="center"/>
    </xf>
    <xf numFmtId="0" fontId="15" fillId="0" borderId="21" xfId="0" applyFont="1" applyBorder="1">
      <alignment vertical="center"/>
    </xf>
    <xf numFmtId="176" fontId="15" fillId="5" borderId="20" xfId="1" applyNumberFormat="1" applyFont="1" applyFill="1" applyBorder="1">
      <alignment vertical="center"/>
    </xf>
    <xf numFmtId="176" fontId="16" fillId="5" borderId="20" xfId="1" applyNumberFormat="1" applyFont="1" applyFill="1" applyBorder="1">
      <alignment vertical="center"/>
    </xf>
    <xf numFmtId="176" fontId="15" fillId="0" borderId="20" xfId="1" applyNumberFormat="1" applyFont="1" applyBorder="1">
      <alignment vertical="center"/>
    </xf>
    <xf numFmtId="177" fontId="15" fillId="0" borderId="20" xfId="2" applyNumberFormat="1" applyFont="1" applyBorder="1" applyAlignment="1">
      <alignment vertical="center" wrapText="1"/>
    </xf>
    <xf numFmtId="9" fontId="16" fillId="0" borderId="20" xfId="2" applyFont="1" applyBorder="1">
      <alignment vertical="center"/>
    </xf>
    <xf numFmtId="9" fontId="16" fillId="0" borderId="22" xfId="2" applyFont="1" applyBorder="1">
      <alignment vertical="center"/>
    </xf>
    <xf numFmtId="38" fontId="16" fillId="7" borderId="11" xfId="1" applyFont="1" applyFill="1" applyBorder="1">
      <alignment vertical="center"/>
    </xf>
    <xf numFmtId="176" fontId="20" fillId="7" borderId="1" xfId="1" applyNumberFormat="1" applyFont="1" applyFill="1" applyBorder="1">
      <alignment vertical="center"/>
    </xf>
    <xf numFmtId="0" fontId="19" fillId="0" borderId="28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 b="1"/>
              <a:t>日本デコラックス</a:t>
            </a:r>
            <a:endParaRPr lang="en-US" altLang="ja-JP" sz="1600" b="1"/>
          </a:p>
          <a:p>
            <a:pPr>
              <a:defRPr sz="1600" b="1"/>
            </a:pPr>
            <a:r>
              <a:rPr lang="en-US" altLang="ja-JP" sz="1600" b="1"/>
              <a:t>2020 </a:t>
            </a:r>
            <a:r>
              <a:rPr lang="ja-JP" altLang="en-US" sz="1600" b="1"/>
              <a:t>セグメント別売上高比率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売上構成!$C$3</c:f>
              <c:strCache>
                <c:ptCount val="1"/>
                <c:pt idx="0">
                  <c:v>売上高
(百万円)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E8A-4994-AEFD-08EA4E92A2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8A-4994-AEFD-08EA4E92A2E1}"/>
              </c:ext>
            </c:extLst>
          </c:dPt>
          <c:dLbls>
            <c:dLbl>
              <c:idx val="0"/>
              <c:layout>
                <c:manualLayout>
                  <c:x val="-0.16909298813154561"/>
                  <c:y val="-1.9277893293641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A-4994-AEFD-08EA4E92A2E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A-4994-AEFD-08EA4E92A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売上構成!$B$4:$B$8</c:f>
              <c:strCache>
                <c:ptCount val="2"/>
                <c:pt idx="0">
                  <c:v>建設材料事業</c:v>
                </c:pt>
                <c:pt idx="1">
                  <c:v>不動産事業</c:v>
                </c:pt>
              </c:strCache>
            </c:strRef>
          </c:cat>
          <c:val>
            <c:numRef>
              <c:f>売上構成!$D$4:$D$8</c:f>
              <c:numCache>
                <c:formatCode>0%</c:formatCode>
                <c:ptCount val="2"/>
                <c:pt idx="0">
                  <c:v>0.92649621289307393</c:v>
                </c:pt>
                <c:pt idx="1">
                  <c:v>7.3503787106926177E-2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A-4994-AEFD-08EA4E92A2E1}"/>
            </c:ext>
          </c:extLst>
        </c:ser>
        <c:ser>
          <c:idx val="1"/>
          <c:order val="1"/>
          <c:tx>
            <c:strRef>
              <c:f>売上構成!$D$3</c:f>
              <c:strCache>
                <c:ptCount val="1"/>
                <c:pt idx="0">
                  <c:v>比率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68B-4144-BE72-4B77A840C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68B-4144-BE72-4B77A840CDF1}"/>
              </c:ext>
            </c:extLst>
          </c:dPt>
          <c:dLbls>
            <c:dLbl>
              <c:idx val="1"/>
              <c:layout>
                <c:manualLayout>
                  <c:x val="3.904823372488275E-3"/>
                  <c:y val="2.368409014232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B-4144-BE72-4B77A840C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売上構成!$B$4:$B$8</c:f>
              <c:strCache>
                <c:ptCount val="2"/>
                <c:pt idx="0">
                  <c:v>建設材料事業</c:v>
                </c:pt>
                <c:pt idx="1">
                  <c:v>不動産事業</c:v>
                </c:pt>
              </c:strCache>
            </c:strRef>
          </c:cat>
          <c:val>
            <c:numRef>
              <c:f>売上構成!$D$4:$D$8</c:f>
              <c:numCache>
                <c:formatCode>0%</c:formatCode>
                <c:ptCount val="2"/>
                <c:pt idx="0">
                  <c:v>0.92649621289307393</c:v>
                </c:pt>
                <c:pt idx="1">
                  <c:v>7.3503787106926177E-2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A-4994-AEFD-08EA4E92A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13945183085E-2"/>
          <c:y val="0.89878315864111757"/>
          <c:w val="0.9"/>
          <c:h val="0.1012168413588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 b="1"/>
              <a:t>日本デコラックス</a:t>
            </a:r>
            <a:endParaRPr lang="en-US" altLang="ja-JP" sz="1600" b="1"/>
          </a:p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600" b="1"/>
              <a:t>2020 </a:t>
            </a:r>
            <a:r>
              <a:rPr lang="ja-JP" altLang="en-US" sz="1600" b="1"/>
              <a:t>セグメント別利益額比率</a:t>
            </a:r>
          </a:p>
        </c:rich>
      </c:tx>
      <c:layout>
        <c:manualLayout>
          <c:xMode val="edge"/>
          <c:yMode val="edge"/>
          <c:x val="0.25171035023492444"/>
          <c:y val="1.438858671683090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売上構成!$C$37</c:f>
              <c:strCache>
                <c:ptCount val="1"/>
                <c:pt idx="0">
                  <c:v>利益
(百万円)</c:v>
                </c:pt>
              </c:strCache>
            </c:strRef>
          </c:tx>
          <c:explosion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76-483E-88DB-A85273738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76-483E-88DB-A85273738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売上構成!$B$38:$B$42</c:f>
              <c:strCache>
                <c:ptCount val="2"/>
                <c:pt idx="0">
                  <c:v>建設材料事業</c:v>
                </c:pt>
                <c:pt idx="1">
                  <c:v>不動産事業</c:v>
                </c:pt>
              </c:strCache>
            </c:strRef>
          </c:cat>
          <c:val>
            <c:numRef>
              <c:f>売上構成!$D$38:$D$42</c:f>
              <c:numCache>
                <c:formatCode>0%</c:formatCode>
                <c:ptCount val="2"/>
                <c:pt idx="0">
                  <c:v>0.73830803556596025</c:v>
                </c:pt>
                <c:pt idx="1">
                  <c:v>0.26169196443403964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76-483E-88DB-A85273738714}"/>
            </c:ext>
          </c:extLst>
        </c:ser>
        <c:ser>
          <c:idx val="1"/>
          <c:order val="1"/>
          <c:tx>
            <c:strRef>
              <c:f>売上構成!$D$3</c:f>
              <c:strCache>
                <c:ptCount val="1"/>
                <c:pt idx="0">
                  <c:v>比率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F776-483E-88DB-A85273738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F776-483E-88DB-A8527373871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6-483E-88DB-A8527373871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6-483E-88DB-A8527373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売上構成!$B$38:$B$42</c:f>
              <c:strCache>
                <c:ptCount val="2"/>
                <c:pt idx="0">
                  <c:v>建設材料事業</c:v>
                </c:pt>
                <c:pt idx="1">
                  <c:v>不動産事業</c:v>
                </c:pt>
              </c:strCache>
            </c:strRef>
          </c:cat>
          <c:val>
            <c:numRef>
              <c:f>売上構成!$D$4:$D$8</c:f>
              <c:numCache>
                <c:formatCode>0%</c:formatCode>
                <c:ptCount val="2"/>
                <c:pt idx="0">
                  <c:v>0.92649621289307393</c:v>
                </c:pt>
                <c:pt idx="1">
                  <c:v>7.3503787106926177E-2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76-483E-88DB-A8527373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13945183085E-2"/>
          <c:y val="0.89878315864111757"/>
          <c:w val="0.9"/>
          <c:h val="0.1012168413588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業績推移!$F$2</c:f>
              <c:strCache>
                <c:ptCount val="1"/>
                <c:pt idx="0">
                  <c:v>売上高
(億円)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業績推移!$F$3:$F$14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業績推移!$E$3:$E$14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A17-4758-8D8D-6913DE31EB2D}"/>
            </c:ext>
          </c:extLst>
        </c:ser>
        <c:ser>
          <c:idx val="1"/>
          <c:order val="1"/>
          <c:tx>
            <c:strRef>
              <c:f>業績推移!$G$2</c:f>
              <c:strCache>
                <c:ptCount val="1"/>
                <c:pt idx="0">
                  <c:v>営業利益
(億円)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業績推移!$G$3:$G$14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業績推移!$E$3:$E$14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A17-4758-8D8D-6913DE31EB2D}"/>
            </c:ext>
          </c:extLst>
        </c:ser>
        <c:ser>
          <c:idx val="2"/>
          <c:order val="2"/>
          <c:tx>
            <c:strRef>
              <c:f>業績推移!$H$2</c:f>
              <c:strCache>
                <c:ptCount val="1"/>
                <c:pt idx="0">
                  <c:v>経常利益
(億円)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業績推移!$H$3:$H$14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業績推移!$E$3:$E$14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A17-4758-8D8D-6913DE31EB2D}"/>
            </c:ext>
          </c:extLst>
        </c:ser>
        <c:ser>
          <c:idx val="3"/>
          <c:order val="3"/>
          <c:tx>
            <c:strRef>
              <c:f>業績推移!$I$2</c:f>
              <c:strCache>
                <c:ptCount val="1"/>
                <c:pt idx="0">
                  <c:v>前期比
剰余金増加額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業績推移!$I$3:$I$14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業績推移!$E$3:$E$14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5A17-4758-8D8D-6913DE31E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6368976"/>
        <c:axId val="596363728"/>
      </c:barChart>
      <c:lineChart>
        <c:grouping val="standard"/>
        <c:varyColors val="0"/>
        <c:ser>
          <c:idx val="4"/>
          <c:order val="4"/>
          <c:tx>
            <c:strRef>
              <c:f>業績推移!$L$2</c:f>
              <c:strCache>
                <c:ptCount val="1"/>
                <c:pt idx="0">
                  <c:v>10年比
営利増加率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業績推移!$L$3:$L$14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業績推移!$E$3:$E$14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5A17-4758-8D8D-6913DE31EB2D}"/>
            </c:ext>
          </c:extLst>
        </c:ser>
        <c:ser>
          <c:idx val="5"/>
          <c:order val="5"/>
          <c:tx>
            <c:strRef>
              <c:f>業績推移!$M$2</c:f>
              <c:strCache>
                <c:ptCount val="1"/>
                <c:pt idx="0">
                  <c:v>10年比
経利増加率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業績推移!$M$3:$M$14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業績推移!$E$3:$E$14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5A17-4758-8D8D-6913DE31EB2D}"/>
            </c:ext>
          </c:extLst>
        </c:ser>
        <c:ser>
          <c:idx val="6"/>
          <c:order val="6"/>
          <c:tx>
            <c:v>営業利益率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業績推移!$J$3:$J$14</c:f>
            </c:numRef>
          </c:val>
          <c:smooth val="0"/>
          <c:extLst>
            <c:ext xmlns:c16="http://schemas.microsoft.com/office/drawing/2014/chart" uri="{C3380CC4-5D6E-409C-BE32-E72D297353CC}">
              <c16:uniqueId val="{00000002-B670-4D69-81A0-23F2A5727341}"/>
            </c:ext>
          </c:extLst>
        </c:ser>
        <c:ser>
          <c:idx val="7"/>
          <c:order val="7"/>
          <c:tx>
            <c:v>経常利益率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業績推移!$K$3:$K$14</c:f>
            </c:numRef>
          </c:val>
          <c:smooth val="0"/>
          <c:extLst>
            <c:ext xmlns:c16="http://schemas.microsoft.com/office/drawing/2014/chart" uri="{C3380CC4-5D6E-409C-BE32-E72D297353CC}">
              <c16:uniqueId val="{00000003-B670-4D69-81A0-23F2A5727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941736"/>
        <c:axId val="306942720"/>
      </c:lineChart>
      <c:catAx>
        <c:axId val="59636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6363728"/>
        <c:crossesAt val="0"/>
        <c:auto val="1"/>
        <c:lblAlgn val="ctr"/>
        <c:lblOffset val="100"/>
        <c:noMultiLvlLbl val="0"/>
      </c:catAx>
      <c:valAx>
        <c:axId val="59636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6368976"/>
        <c:crosses val="autoZero"/>
        <c:crossBetween val="between"/>
      </c:valAx>
      <c:valAx>
        <c:axId val="30694272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6941736"/>
        <c:crosses val="max"/>
        <c:crossBetween val="between"/>
      </c:valAx>
      <c:catAx>
        <c:axId val="306941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6942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695544435729075E-2"/>
          <c:y val="0.83685697030666417"/>
          <c:w val="0.95209648706940186"/>
          <c:h val="0.142244204690003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557915215745327E-2"/>
          <c:y val="0.11606383567949231"/>
          <c:w val="0.87134154892973181"/>
          <c:h val="0.61457147981675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財務分析!$F$2</c:f>
              <c:strCache>
                <c:ptCount val="1"/>
                <c:pt idx="0">
                  <c:v>総資産
(億円)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財務分析!$F$3:$F$14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財務分析!$E$3:$E$14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33C-4792-8B16-E525FCDF1947}"/>
            </c:ext>
          </c:extLst>
        </c:ser>
        <c:ser>
          <c:idx val="1"/>
          <c:order val="1"/>
          <c:tx>
            <c:strRef>
              <c:f>財務分析!$G$2</c:f>
              <c:strCache>
                <c:ptCount val="1"/>
                <c:pt idx="0">
                  <c:v>株主資本
(億円)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財務分析!$G$3:$G$14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財務分析!$E$3:$E$14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33C-4792-8B16-E525FCDF1947}"/>
            </c:ext>
          </c:extLst>
        </c:ser>
        <c:ser>
          <c:idx val="2"/>
          <c:order val="2"/>
          <c:tx>
            <c:strRef>
              <c:f>財務分析!$H$2</c:f>
              <c:strCache>
                <c:ptCount val="1"/>
                <c:pt idx="0">
                  <c:v>利益剰余金
(億円)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財務分析!$H$3:$H$14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財務分析!$E$3:$E$14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33C-4792-8B16-E525FCDF1947}"/>
            </c:ext>
          </c:extLst>
        </c:ser>
        <c:ser>
          <c:idx val="7"/>
          <c:order val="6"/>
          <c:tx>
            <c:strRef>
              <c:f>財務分析!$I$2</c:f>
              <c:strCache>
                <c:ptCount val="1"/>
                <c:pt idx="0">
                  <c:v>現金等
(億円)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財務分析!$I$3:$I$14</c:f>
            </c:numRef>
          </c:val>
          <c:extLst>
            <c:ext xmlns:c16="http://schemas.microsoft.com/office/drawing/2014/chart" uri="{C3380CC4-5D6E-409C-BE32-E72D297353CC}">
              <c16:uniqueId val="{00000000-F68F-482B-AC17-0F4B444B193A}"/>
            </c:ext>
          </c:extLst>
        </c:ser>
        <c:ser>
          <c:idx val="3"/>
          <c:order val="7"/>
          <c:tx>
            <c:strRef>
              <c:f>財務分析!$L$2</c:f>
              <c:strCache>
                <c:ptCount val="1"/>
                <c:pt idx="0">
                  <c:v>前期比
剰余金増加額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財務分析!$L$3:$L$14</c:f>
            </c:numRef>
          </c:val>
          <c:extLst>
            <c:ext xmlns:c16="http://schemas.microsoft.com/office/drawing/2014/chart" uri="{C3380CC4-5D6E-409C-BE32-E72D297353CC}">
              <c16:uniqueId val="{00000001-F68F-482B-AC17-0F4B444B1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36224"/>
        <c:axId val="479433928"/>
      </c:barChart>
      <c:lineChart>
        <c:grouping val="stacked"/>
        <c:varyColors val="0"/>
        <c:ser>
          <c:idx val="4"/>
          <c:order val="3"/>
          <c:tx>
            <c:strRef>
              <c:f>財務分析!$M$2</c:f>
              <c:strCache>
                <c:ptCount val="1"/>
                <c:pt idx="0">
                  <c:v>前期比
剰余金増加率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財務分析!$M$3:$M$14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財務分析!$E$3:$E$14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33C-4792-8B16-E525FCDF1947}"/>
            </c:ext>
          </c:extLst>
        </c:ser>
        <c:ser>
          <c:idx val="5"/>
          <c:order val="4"/>
          <c:tx>
            <c:v>自己資本比率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財務分析!$J$3:$J$14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財務分析!$E$3:$E$14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BF7-40C5-9B15-6C1BEB80206E}"/>
            </c:ext>
          </c:extLst>
        </c:ser>
        <c:ser>
          <c:idx val="6"/>
          <c:order val="5"/>
          <c:tx>
            <c:v>総資産現金比率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財務分析!$K$3:$K$14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財務分析!$E$3:$E$14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BF7-40C5-9B15-6C1BEB802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048560"/>
        <c:axId val="613048232"/>
      </c:lineChart>
      <c:catAx>
        <c:axId val="47943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433928"/>
        <c:crosses val="autoZero"/>
        <c:auto val="1"/>
        <c:lblAlgn val="ctr"/>
        <c:lblOffset val="100"/>
        <c:noMultiLvlLbl val="0"/>
      </c:catAx>
      <c:valAx>
        <c:axId val="47943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436224"/>
        <c:crosses val="autoZero"/>
        <c:crossBetween val="between"/>
      </c:valAx>
      <c:valAx>
        <c:axId val="61304823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3048560"/>
        <c:crosses val="max"/>
        <c:crossBetween val="between"/>
      </c:valAx>
      <c:catAx>
        <c:axId val="61304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3048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043260065229824E-2"/>
          <c:y val="0.8077485331882468"/>
          <c:w val="0.96239497919489259"/>
          <c:h val="0.1922514668117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'配当、自社株買い'!$I$2</c:f>
              <c:strCache>
                <c:ptCount val="1"/>
                <c:pt idx="0">
                  <c:v>前期比
剰余金増加額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'配当、自社株買い'!$E$3:$E$13</c:f>
              <c:strCache>
                <c:ptCount val="10"/>
                <c:pt idx="0">
                  <c:v>11年</c:v>
                </c:pt>
                <c:pt idx="1">
                  <c:v>12年</c:v>
                </c:pt>
                <c:pt idx="2">
                  <c:v>13年</c:v>
                </c:pt>
                <c:pt idx="3">
                  <c:v>14年</c:v>
                </c:pt>
                <c:pt idx="4">
                  <c:v>15年</c:v>
                </c:pt>
                <c:pt idx="5">
                  <c:v>16年</c:v>
                </c:pt>
                <c:pt idx="6">
                  <c:v>17年</c:v>
                </c:pt>
                <c:pt idx="7">
                  <c:v>18年</c:v>
                </c:pt>
                <c:pt idx="8">
                  <c:v>19年</c:v>
                </c:pt>
                <c:pt idx="9">
                  <c:v>20年</c:v>
                </c:pt>
              </c:strCache>
            </c:strRef>
          </c:cat>
          <c:val>
            <c:numRef>
              <c:f>'配当、自社株買い'!$I$3:$I$13</c:f>
            </c:numRef>
          </c:val>
          <c:extLst>
            <c:ext xmlns:c16="http://schemas.microsoft.com/office/drawing/2014/chart" uri="{C3380CC4-5D6E-409C-BE32-E72D297353CC}">
              <c16:uniqueId val="{00000003-B27B-43C3-8CD2-46382FEA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0489704"/>
        <c:axId val="610492328"/>
      </c:barChart>
      <c:barChart>
        <c:barDir val="col"/>
        <c:grouping val="clustered"/>
        <c:varyColors val="0"/>
        <c:ser>
          <c:idx val="0"/>
          <c:order val="0"/>
          <c:tx>
            <c:strRef>
              <c:f>'配当、自社株買い'!$G$2</c:f>
              <c:strCache>
                <c:ptCount val="1"/>
                <c:pt idx="0">
                  <c:v>1株配当金
(円)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'配当、自社株買い'!$E$3:$E$13</c:f>
              <c:strCache>
                <c:ptCount val="10"/>
                <c:pt idx="0">
                  <c:v>11年</c:v>
                </c:pt>
                <c:pt idx="1">
                  <c:v>12年</c:v>
                </c:pt>
                <c:pt idx="2">
                  <c:v>13年</c:v>
                </c:pt>
                <c:pt idx="3">
                  <c:v>14年</c:v>
                </c:pt>
                <c:pt idx="4">
                  <c:v>15年</c:v>
                </c:pt>
                <c:pt idx="5">
                  <c:v>16年</c:v>
                </c:pt>
                <c:pt idx="6">
                  <c:v>17年</c:v>
                </c:pt>
                <c:pt idx="7">
                  <c:v>18年</c:v>
                </c:pt>
                <c:pt idx="8">
                  <c:v>19年</c:v>
                </c:pt>
                <c:pt idx="9">
                  <c:v>20年</c:v>
                </c:pt>
              </c:strCache>
            </c:strRef>
          </c:cat>
          <c:val>
            <c:numRef>
              <c:f>'配当、自社株買い'!$G$3:$G$13</c:f>
              <c:numCache>
                <c:formatCode>#,##0.0;[Red]\-#,##0.0</c:formatCode>
                <c:ptCount val="10"/>
                <c:pt idx="0">
                  <c:v>13</c:v>
                </c:pt>
                <c:pt idx="1">
                  <c:v>13</c:v>
                </c:pt>
                <c:pt idx="2">
                  <c:v>14.5</c:v>
                </c:pt>
                <c:pt idx="3">
                  <c:v>15</c:v>
                </c:pt>
                <c:pt idx="4">
                  <c:v>16.5</c:v>
                </c:pt>
                <c:pt idx="5">
                  <c:v>18.5</c:v>
                </c:pt>
                <c:pt idx="6">
                  <c:v>21.5</c:v>
                </c:pt>
                <c:pt idx="7">
                  <c:v>22.5</c:v>
                </c:pt>
                <c:pt idx="8">
                  <c:v>25.5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B-43C3-8CD2-46382FEA8B08}"/>
            </c:ext>
          </c:extLst>
        </c:ser>
        <c:ser>
          <c:idx val="2"/>
          <c:order val="2"/>
          <c:tx>
            <c:strRef>
              <c:f>'配当、自社株買い'!$F$2</c:f>
              <c:strCache>
                <c:ptCount val="1"/>
                <c:pt idx="0">
                  <c:v>自社株買
(億円)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'配当、自社株買い'!$E$3:$E$13</c:f>
              <c:strCache>
                <c:ptCount val="10"/>
                <c:pt idx="0">
                  <c:v>11年</c:v>
                </c:pt>
                <c:pt idx="1">
                  <c:v>12年</c:v>
                </c:pt>
                <c:pt idx="2">
                  <c:v>13年</c:v>
                </c:pt>
                <c:pt idx="3">
                  <c:v>14年</c:v>
                </c:pt>
                <c:pt idx="4">
                  <c:v>15年</c:v>
                </c:pt>
                <c:pt idx="5">
                  <c:v>16年</c:v>
                </c:pt>
                <c:pt idx="6">
                  <c:v>17年</c:v>
                </c:pt>
                <c:pt idx="7">
                  <c:v>18年</c:v>
                </c:pt>
                <c:pt idx="8">
                  <c:v>19年</c:v>
                </c:pt>
                <c:pt idx="9">
                  <c:v>20年</c:v>
                </c:pt>
              </c:strCache>
            </c:strRef>
          </c:cat>
          <c:val>
            <c:numRef>
              <c:f>'配当、自社株買い'!$F$3:$F$13</c:f>
              <c:numCache>
                <c:formatCode>#,##0.0;[Red]\-#,##0.0</c:formatCode>
                <c:ptCount val="10"/>
                <c:pt idx="0">
                  <c:v>8.0000000000000002E-3</c:v>
                </c:pt>
                <c:pt idx="1">
                  <c:v>4.4000000000000003E-3</c:v>
                </c:pt>
                <c:pt idx="2">
                  <c:v>4.3E-3</c:v>
                </c:pt>
                <c:pt idx="5">
                  <c:v>3.3999999999999998E-3</c:v>
                </c:pt>
                <c:pt idx="7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B-43C3-8CD2-46382FEA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0489704"/>
        <c:axId val="610492328"/>
      </c:barChart>
      <c:lineChart>
        <c:grouping val="standard"/>
        <c:varyColors val="0"/>
        <c:ser>
          <c:idx val="1"/>
          <c:order val="1"/>
          <c:tx>
            <c:strRef>
              <c:f>'配当、自社株買い'!$H$2</c:f>
              <c:strCache>
                <c:ptCount val="1"/>
                <c:pt idx="0">
                  <c:v>配当性向
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'配当、自社株買い'!$E$3:$E$13</c:f>
              <c:strCache>
                <c:ptCount val="10"/>
                <c:pt idx="0">
                  <c:v>11年</c:v>
                </c:pt>
                <c:pt idx="1">
                  <c:v>12年</c:v>
                </c:pt>
                <c:pt idx="2">
                  <c:v>13年</c:v>
                </c:pt>
                <c:pt idx="3">
                  <c:v>14年</c:v>
                </c:pt>
                <c:pt idx="4">
                  <c:v>15年</c:v>
                </c:pt>
                <c:pt idx="5">
                  <c:v>16年</c:v>
                </c:pt>
                <c:pt idx="6">
                  <c:v>17年</c:v>
                </c:pt>
                <c:pt idx="7">
                  <c:v>18年</c:v>
                </c:pt>
                <c:pt idx="8">
                  <c:v>19年</c:v>
                </c:pt>
                <c:pt idx="9">
                  <c:v>20年</c:v>
                </c:pt>
              </c:strCache>
            </c:strRef>
          </c:cat>
          <c:val>
            <c:numRef>
              <c:f>'配当、自社株買い'!$H$3:$H$13</c:f>
              <c:numCache>
                <c:formatCode>0.0%</c:formatCode>
                <c:ptCount val="10"/>
                <c:pt idx="0">
                  <c:v>0.23284972237148488</c:v>
                </c:pt>
                <c:pt idx="1">
                  <c:v>0.38438793613246597</c:v>
                </c:pt>
                <c:pt idx="2">
                  <c:v>0.18100112345524905</c:v>
                </c:pt>
                <c:pt idx="3">
                  <c:v>0.17886954447889339</c:v>
                </c:pt>
                <c:pt idx="4">
                  <c:v>0.15656134358098492</c:v>
                </c:pt>
                <c:pt idx="5">
                  <c:v>0.22847968383351858</c:v>
                </c:pt>
                <c:pt idx="6">
                  <c:v>0.14331422477003064</c:v>
                </c:pt>
                <c:pt idx="7">
                  <c:v>0.15735366109518148</c:v>
                </c:pt>
                <c:pt idx="8">
                  <c:v>0.18588715556203528</c:v>
                </c:pt>
                <c:pt idx="9">
                  <c:v>1.8840579710144927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B-43C3-8CD2-46382FEA8B08}"/>
            </c:ext>
          </c:extLst>
        </c:ser>
        <c:ser>
          <c:idx val="4"/>
          <c:order val="4"/>
          <c:tx>
            <c:strRef>
              <c:f>'配当、自社株買い'!$K$2</c:f>
              <c:strCache>
                <c:ptCount val="1"/>
                <c:pt idx="0">
                  <c:v>前年比
配当増加率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-5.49450549450549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7-4BA5-A3E8-6A28525AA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'配当、自社株買い'!$E$3:$E$13</c:f>
              <c:strCache>
                <c:ptCount val="10"/>
                <c:pt idx="0">
                  <c:v>11年</c:v>
                </c:pt>
                <c:pt idx="1">
                  <c:v>12年</c:v>
                </c:pt>
                <c:pt idx="2">
                  <c:v>13年</c:v>
                </c:pt>
                <c:pt idx="3">
                  <c:v>14年</c:v>
                </c:pt>
                <c:pt idx="4">
                  <c:v>15年</c:v>
                </c:pt>
                <c:pt idx="5">
                  <c:v>16年</c:v>
                </c:pt>
                <c:pt idx="6">
                  <c:v>17年</c:v>
                </c:pt>
                <c:pt idx="7">
                  <c:v>18年</c:v>
                </c:pt>
                <c:pt idx="8">
                  <c:v>19年</c:v>
                </c:pt>
                <c:pt idx="9">
                  <c:v>20年</c:v>
                </c:pt>
              </c:strCache>
            </c:strRef>
          </c:cat>
          <c:val>
            <c:numRef>
              <c:f>'配当、自社株買い'!$K$3:$K$13</c:f>
              <c:numCache>
                <c:formatCode>0%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1.1153846153846154</c:v>
                </c:pt>
                <c:pt idx="3">
                  <c:v>1.0344827586206897</c:v>
                </c:pt>
                <c:pt idx="4">
                  <c:v>1.1000000000000001</c:v>
                </c:pt>
                <c:pt idx="5">
                  <c:v>1.1212121212121211</c:v>
                </c:pt>
                <c:pt idx="6">
                  <c:v>1.1621621621621621</c:v>
                </c:pt>
                <c:pt idx="7">
                  <c:v>1.0465116279069768</c:v>
                </c:pt>
                <c:pt idx="8">
                  <c:v>1.1333333333333333</c:v>
                </c:pt>
                <c:pt idx="9">
                  <c:v>1.0196078431372548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7B-43C3-8CD2-46382FEA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640968"/>
        <c:axId val="303640640"/>
      </c:lineChart>
      <c:catAx>
        <c:axId val="610489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0492328"/>
        <c:crosses val="autoZero"/>
        <c:auto val="1"/>
        <c:lblAlgn val="ctr"/>
        <c:lblOffset val="100"/>
        <c:noMultiLvlLbl val="0"/>
      </c:catAx>
      <c:valAx>
        <c:axId val="61049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0489704"/>
        <c:crosses val="autoZero"/>
        <c:crossBetween val="between"/>
      </c:valAx>
      <c:valAx>
        <c:axId val="303640640"/>
        <c:scaling>
          <c:orientation val="minMax"/>
          <c:min val="-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3640968"/>
        <c:crosses val="max"/>
        <c:crossBetween val="between"/>
      </c:valAx>
      <c:catAx>
        <c:axId val="303640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640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5.png"/><Relationship Id="rId7" Type="http://schemas.openxmlformats.org/officeDocument/2006/relationships/image" Target="../media/image46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49.png"/><Relationship Id="rId4" Type="http://schemas.openxmlformats.org/officeDocument/2006/relationships/image" Target="../media/image6.png"/><Relationship Id="rId9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chart" Target="../charts/chart4.xml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2" Type="http://schemas.openxmlformats.org/officeDocument/2006/relationships/image" Target="../media/image57.png"/><Relationship Id="rId1" Type="http://schemas.openxmlformats.org/officeDocument/2006/relationships/chart" Target="../charts/chart5.xml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0" Type="http://schemas.openxmlformats.org/officeDocument/2006/relationships/image" Target="../media/image65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10</xdr:row>
      <xdr:rowOff>38547</xdr:rowOff>
    </xdr:from>
    <xdr:to>
      <xdr:col>5</xdr:col>
      <xdr:colOff>636494</xdr:colOff>
      <xdr:row>29</xdr:row>
      <xdr:rowOff>53787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BC64CFC-C489-40D1-86C3-02931CDA3E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1098178</xdr:colOff>
      <xdr:row>42</xdr:row>
      <xdr:rowOff>89648</xdr:rowOff>
    </xdr:from>
    <xdr:to>
      <xdr:col>6</xdr:col>
      <xdr:colOff>242047</xdr:colOff>
      <xdr:row>62</xdr:row>
      <xdr:rowOff>76199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5C667BA-C6A6-4FEE-8C8D-7DE8A6505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281847</xdr:colOff>
      <xdr:row>2</xdr:row>
      <xdr:rowOff>281940</xdr:rowOff>
    </xdr:from>
    <xdr:to>
      <xdr:col>22</xdr:col>
      <xdr:colOff>335655</xdr:colOff>
      <xdr:row>21</xdr:row>
      <xdr:rowOff>1228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C71B88B-7BF8-4687-A306-7831EF49E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1247" y="746760"/>
          <a:ext cx="4747728" cy="3155908"/>
        </a:xfrm>
        <a:prstGeom prst="rect">
          <a:avLst/>
        </a:prstGeom>
      </xdr:spPr>
    </xdr:pic>
    <xdr:clientData/>
  </xdr:twoCellAnchor>
  <xdr:twoCellAnchor editAs="oneCell">
    <xdr:from>
      <xdr:col>8</xdr:col>
      <xdr:colOff>161364</xdr:colOff>
      <xdr:row>77</xdr:row>
      <xdr:rowOff>62751</xdr:rowOff>
    </xdr:from>
    <xdr:to>
      <xdr:col>14</xdr:col>
      <xdr:colOff>644679</xdr:colOff>
      <xdr:row>90</xdr:row>
      <xdr:rowOff>98611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3ECD9C-5683-43F0-B119-C94B9C37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90329" y="16593669"/>
          <a:ext cx="4517432" cy="3065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76265</xdr:colOff>
      <xdr:row>36</xdr:row>
      <xdr:rowOff>220980</xdr:rowOff>
    </xdr:from>
    <xdr:to>
      <xdr:col>30</xdr:col>
      <xdr:colOff>175263</xdr:colOff>
      <xdr:row>74</xdr:row>
      <xdr:rowOff>221673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9D96DF8-4BE5-4036-928D-F0D29C8E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08205" y="1143000"/>
          <a:ext cx="1440115" cy="864802"/>
        </a:xfrm>
        <a:prstGeom prst="rect">
          <a:avLst/>
        </a:prstGeom>
      </xdr:spPr>
    </xdr:pic>
    <xdr:clientData/>
  </xdr:twoCellAnchor>
  <xdr:twoCellAnchor editAs="oneCell">
    <xdr:from>
      <xdr:col>31</xdr:col>
      <xdr:colOff>647700</xdr:colOff>
      <xdr:row>40</xdr:row>
      <xdr:rowOff>221769</xdr:rowOff>
    </xdr:from>
    <xdr:to>
      <xdr:col>33</xdr:col>
      <xdr:colOff>632779</xdr:colOff>
      <xdr:row>74</xdr:row>
      <xdr:rowOff>213942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BC18165-F9CC-4B58-B31D-34FC8C32E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91320" y="1143000"/>
          <a:ext cx="1326197" cy="851631"/>
        </a:xfrm>
        <a:prstGeom prst="rect">
          <a:avLst/>
        </a:prstGeom>
      </xdr:spPr>
    </xdr:pic>
    <xdr:clientData/>
  </xdr:twoCellAnchor>
  <xdr:twoCellAnchor editAs="oneCell">
    <xdr:from>
      <xdr:col>34</xdr:col>
      <xdr:colOff>30481</xdr:colOff>
      <xdr:row>40</xdr:row>
      <xdr:rowOff>166404</xdr:rowOff>
    </xdr:from>
    <xdr:to>
      <xdr:col>35</xdr:col>
      <xdr:colOff>640078</xdr:colOff>
      <xdr:row>74</xdr:row>
      <xdr:rowOff>306891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AF27407-598F-4C34-A3A8-DC992DEA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385781" y="1143000"/>
          <a:ext cx="1280160" cy="949438"/>
        </a:xfrm>
        <a:prstGeom prst="rect">
          <a:avLst/>
        </a:prstGeom>
      </xdr:spPr>
    </xdr:pic>
    <xdr:clientData/>
  </xdr:twoCellAnchor>
  <xdr:twoCellAnchor editAs="oneCell">
    <xdr:from>
      <xdr:col>36</xdr:col>
      <xdr:colOff>146355</xdr:colOff>
      <xdr:row>41</xdr:row>
      <xdr:rowOff>0</xdr:rowOff>
    </xdr:from>
    <xdr:to>
      <xdr:col>38</xdr:col>
      <xdr:colOff>530387</xdr:colOff>
      <xdr:row>74</xdr:row>
      <xdr:rowOff>196165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AB949DB-F2BF-4D0F-A89E-EE45C322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42775" y="1143000"/>
          <a:ext cx="1725152" cy="833854"/>
        </a:xfrm>
        <a:prstGeom prst="rect">
          <a:avLst/>
        </a:prstGeom>
      </xdr:spPr>
    </xdr:pic>
    <xdr:clientData/>
  </xdr:twoCellAnchor>
  <xdr:twoCellAnchor editAs="oneCell">
    <xdr:from>
      <xdr:col>39</xdr:col>
      <xdr:colOff>22860</xdr:colOff>
      <xdr:row>40</xdr:row>
      <xdr:rowOff>215605</xdr:rowOff>
    </xdr:from>
    <xdr:to>
      <xdr:col>41</xdr:col>
      <xdr:colOff>604631</xdr:colOff>
      <xdr:row>74</xdr:row>
      <xdr:rowOff>155878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99CB85-90E0-46A4-9114-AFD11183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730960" y="1143000"/>
          <a:ext cx="1922890" cy="791662"/>
        </a:xfrm>
        <a:prstGeom prst="rect">
          <a:avLst/>
        </a:prstGeom>
      </xdr:spPr>
    </xdr:pic>
    <xdr:clientData/>
  </xdr:twoCellAnchor>
  <xdr:twoCellAnchor editAs="oneCell">
    <xdr:from>
      <xdr:col>27</xdr:col>
      <xdr:colOff>561885</xdr:colOff>
      <xdr:row>26</xdr:row>
      <xdr:rowOff>190500</xdr:rowOff>
    </xdr:from>
    <xdr:to>
      <xdr:col>29</xdr:col>
      <xdr:colOff>288888</xdr:colOff>
      <xdr:row>74</xdr:row>
      <xdr:rowOff>156696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EA53B4D-48D7-44A8-B321-05ACC38CF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23265" y="1143000"/>
          <a:ext cx="1068124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295835</xdr:colOff>
      <xdr:row>96</xdr:row>
      <xdr:rowOff>224118</xdr:rowOff>
    </xdr:from>
    <xdr:to>
      <xdr:col>3</xdr:col>
      <xdr:colOff>1094005</xdr:colOff>
      <xdr:row>102</xdr:row>
      <xdr:rowOff>63718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2C6B84B1-2C2B-4F8D-84A8-1B4DC215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2023" y="7942730"/>
          <a:ext cx="1990476" cy="12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615427</xdr:colOff>
      <xdr:row>96</xdr:row>
      <xdr:rowOff>188259</xdr:rowOff>
    </xdr:from>
    <xdr:to>
      <xdr:col>6</xdr:col>
      <xdr:colOff>163912</xdr:colOff>
      <xdr:row>102</xdr:row>
      <xdr:rowOff>60344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6F8568E-C0EA-4C5C-827A-8D1F4F38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06227" y="7906871"/>
          <a:ext cx="1933097" cy="1270580"/>
        </a:xfrm>
        <a:prstGeom prst="rect">
          <a:avLst/>
        </a:prstGeom>
      </xdr:spPr>
    </xdr:pic>
    <xdr:clientData/>
  </xdr:twoCellAnchor>
  <xdr:twoCellAnchor editAs="oneCell">
    <xdr:from>
      <xdr:col>2</xdr:col>
      <xdr:colOff>645459</xdr:colOff>
      <xdr:row>195</xdr:row>
      <xdr:rowOff>107577</xdr:rowOff>
    </xdr:from>
    <xdr:to>
      <xdr:col>8</xdr:col>
      <xdr:colOff>1043102</xdr:colOff>
      <xdr:row>227</xdr:row>
      <xdr:rowOff>125131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756EC4D9-3ACB-4966-90FB-0461C406B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1647" y="30668259"/>
          <a:ext cx="7780952" cy="7476190"/>
        </a:xfrm>
        <a:prstGeom prst="rect">
          <a:avLst/>
        </a:prstGeom>
      </xdr:spPr>
    </xdr:pic>
    <xdr:clientData/>
  </xdr:twoCellAnchor>
  <xdr:twoCellAnchor editAs="oneCell">
    <xdr:from>
      <xdr:col>23</xdr:col>
      <xdr:colOff>143435</xdr:colOff>
      <xdr:row>195</xdr:row>
      <xdr:rowOff>17929</xdr:rowOff>
    </xdr:from>
    <xdr:to>
      <xdr:col>34</xdr:col>
      <xdr:colOff>233266</xdr:colOff>
      <xdr:row>229</xdr:row>
      <xdr:rowOff>74081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547CBF6-C578-40E5-B243-A85E5AFFD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82635" y="30578611"/>
          <a:ext cx="7485714" cy="79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1021977</xdr:colOff>
      <xdr:row>231</xdr:row>
      <xdr:rowOff>0</xdr:rowOff>
    </xdr:from>
    <xdr:to>
      <xdr:col>8</xdr:col>
      <xdr:colOff>1371600</xdr:colOff>
      <xdr:row>257</xdr:row>
      <xdr:rowOff>35097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6EE8800-8054-4DCF-90F9-FC259E187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8165" y="38951647"/>
          <a:ext cx="7742857" cy="6095238"/>
        </a:xfrm>
        <a:prstGeom prst="rect">
          <a:avLst/>
        </a:prstGeom>
      </xdr:spPr>
    </xdr:pic>
    <xdr:clientData/>
  </xdr:twoCellAnchor>
  <xdr:twoCellAnchor editAs="oneCell">
    <xdr:from>
      <xdr:col>23</xdr:col>
      <xdr:colOff>116542</xdr:colOff>
      <xdr:row>231</xdr:row>
      <xdr:rowOff>53789</xdr:rowOff>
    </xdr:from>
    <xdr:to>
      <xdr:col>34</xdr:col>
      <xdr:colOff>511135</xdr:colOff>
      <xdr:row>257</xdr:row>
      <xdr:rowOff>3172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0C72B63-5908-4109-A453-CED77E156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55742" y="39005436"/>
          <a:ext cx="7790476" cy="60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502024</xdr:colOff>
      <xdr:row>268</xdr:row>
      <xdr:rowOff>80682</xdr:rowOff>
    </xdr:from>
    <xdr:to>
      <xdr:col>8</xdr:col>
      <xdr:colOff>547286</xdr:colOff>
      <xdr:row>298</xdr:row>
      <xdr:rowOff>173925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D80E0AF-C3C4-43F5-A373-03969879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08212" y="47656376"/>
          <a:ext cx="7428571" cy="7085714"/>
        </a:xfrm>
        <a:prstGeom prst="rect">
          <a:avLst/>
        </a:prstGeom>
      </xdr:spPr>
    </xdr:pic>
    <xdr:clientData/>
  </xdr:twoCellAnchor>
  <xdr:twoCellAnchor editAs="oneCell">
    <xdr:from>
      <xdr:col>8</xdr:col>
      <xdr:colOff>708213</xdr:colOff>
      <xdr:row>268</xdr:row>
      <xdr:rowOff>71717</xdr:rowOff>
    </xdr:from>
    <xdr:to>
      <xdr:col>32</xdr:col>
      <xdr:colOff>238836</xdr:colOff>
      <xdr:row>301</xdr:row>
      <xdr:rowOff>160951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049DD5-7289-4F04-A080-ED1FC8F9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55107" y="47647411"/>
          <a:ext cx="7133333" cy="7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726141</xdr:colOff>
      <xdr:row>300</xdr:row>
      <xdr:rowOff>17930</xdr:rowOff>
    </xdr:from>
    <xdr:to>
      <xdr:col>8</xdr:col>
      <xdr:colOff>371403</xdr:colOff>
      <xdr:row>331</xdr:row>
      <xdr:rowOff>39996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52C7D48-A75C-496C-A769-7E0405EB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2329" y="55052259"/>
          <a:ext cx="7028571" cy="72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564776</xdr:colOff>
      <xdr:row>301</xdr:row>
      <xdr:rowOff>116541</xdr:rowOff>
    </xdr:from>
    <xdr:to>
      <xdr:col>31</xdr:col>
      <xdr:colOff>503647</xdr:colOff>
      <xdr:row>331</xdr:row>
      <xdr:rowOff>209785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94EB6F7-8F21-4F8C-9CF5-081284E0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11670" y="55383953"/>
          <a:ext cx="6866667" cy="70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681319</xdr:colOff>
      <xdr:row>331</xdr:row>
      <xdr:rowOff>179294</xdr:rowOff>
    </xdr:from>
    <xdr:to>
      <xdr:col>8</xdr:col>
      <xdr:colOff>640867</xdr:colOff>
      <xdr:row>360</xdr:row>
      <xdr:rowOff>219905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C926D8F0-79D1-4558-A0A5-DF0A9A85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7507" y="62439176"/>
          <a:ext cx="7342857" cy="6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502024</xdr:colOff>
      <xdr:row>372</xdr:row>
      <xdr:rowOff>0</xdr:rowOff>
    </xdr:from>
    <xdr:to>
      <xdr:col>8</xdr:col>
      <xdr:colOff>223477</xdr:colOff>
      <xdr:row>403</xdr:row>
      <xdr:rowOff>79209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D7B884-5505-406C-8F98-AC6F2A726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8212" y="71816259"/>
          <a:ext cx="7104762" cy="73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242047</xdr:colOff>
      <xdr:row>372</xdr:row>
      <xdr:rowOff>107576</xdr:rowOff>
    </xdr:from>
    <xdr:to>
      <xdr:col>32</xdr:col>
      <xdr:colOff>134575</xdr:colOff>
      <xdr:row>397</xdr:row>
      <xdr:rowOff>194803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BA56C09E-E625-4A4C-8B90-7CFFCD8E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88941" y="71923835"/>
          <a:ext cx="7495238" cy="5914286"/>
        </a:xfrm>
        <a:prstGeom prst="rect">
          <a:avLst/>
        </a:prstGeom>
      </xdr:spPr>
    </xdr:pic>
    <xdr:clientData/>
  </xdr:twoCellAnchor>
  <xdr:twoCellAnchor editAs="oneCell">
    <xdr:from>
      <xdr:col>34</xdr:col>
      <xdr:colOff>429490</xdr:colOff>
      <xdr:row>95</xdr:row>
      <xdr:rowOff>138546</xdr:rowOff>
    </xdr:from>
    <xdr:to>
      <xdr:col>38</xdr:col>
      <xdr:colOff>312274</xdr:colOff>
      <xdr:row>103</xdr:row>
      <xdr:rowOff>46707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A9DD2AC-741D-4205-B0DC-A015D98A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583890" y="7439891"/>
          <a:ext cx="2542857" cy="1792380"/>
        </a:xfrm>
        <a:prstGeom prst="rect">
          <a:avLst/>
        </a:prstGeom>
      </xdr:spPr>
    </xdr:pic>
    <xdr:clientData/>
  </xdr:twoCellAnchor>
  <xdr:twoCellAnchor editAs="oneCell">
    <xdr:from>
      <xdr:col>38</xdr:col>
      <xdr:colOff>540327</xdr:colOff>
      <xdr:row>96</xdr:row>
      <xdr:rowOff>180109</xdr:rowOff>
    </xdr:from>
    <xdr:to>
      <xdr:col>41</xdr:col>
      <xdr:colOff>621462</xdr:colOff>
      <xdr:row>103</xdr:row>
      <xdr:rowOff>102847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F32CAD0E-E87C-4BBE-BA7B-EAD01560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354800" y="7716982"/>
          <a:ext cx="2076190" cy="1571429"/>
        </a:xfrm>
        <a:prstGeom prst="rect">
          <a:avLst/>
        </a:prstGeom>
      </xdr:spPr>
    </xdr:pic>
    <xdr:clientData/>
  </xdr:twoCellAnchor>
  <xdr:twoCellAnchor editAs="oneCell">
    <xdr:from>
      <xdr:col>39</xdr:col>
      <xdr:colOff>277090</xdr:colOff>
      <xdr:row>95</xdr:row>
      <xdr:rowOff>180109</xdr:rowOff>
    </xdr:from>
    <xdr:to>
      <xdr:col>41</xdr:col>
      <xdr:colOff>337529</xdr:colOff>
      <xdr:row>97</xdr:row>
      <xdr:rowOff>13816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C4315138-1D1A-4ADB-BEC5-D3CB16D3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756581" y="7481454"/>
          <a:ext cx="1390476" cy="304762"/>
        </a:xfrm>
        <a:prstGeom prst="rect">
          <a:avLst/>
        </a:prstGeom>
      </xdr:spPr>
    </xdr:pic>
    <xdr:clientData/>
  </xdr:twoCellAnchor>
  <xdr:twoCellAnchor editAs="oneCell">
    <xdr:from>
      <xdr:col>42</xdr:col>
      <xdr:colOff>554182</xdr:colOff>
      <xdr:row>97</xdr:row>
      <xdr:rowOff>110837</xdr:rowOff>
    </xdr:from>
    <xdr:to>
      <xdr:col>46</xdr:col>
      <xdr:colOff>151252</xdr:colOff>
      <xdr:row>102</xdr:row>
      <xdr:rowOff>104630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5F2C7C56-F4A9-4081-9D5E-28539819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028727" y="7883237"/>
          <a:ext cx="2257143" cy="1171429"/>
        </a:xfrm>
        <a:prstGeom prst="rect">
          <a:avLst/>
        </a:prstGeom>
      </xdr:spPr>
    </xdr:pic>
    <xdr:clientData/>
  </xdr:twoCellAnchor>
  <xdr:twoCellAnchor editAs="oneCell">
    <xdr:from>
      <xdr:col>43</xdr:col>
      <xdr:colOff>290945</xdr:colOff>
      <xdr:row>96</xdr:row>
      <xdr:rowOff>55418</xdr:rowOff>
    </xdr:from>
    <xdr:to>
      <xdr:col>44</xdr:col>
      <xdr:colOff>664023</xdr:colOff>
      <xdr:row>98</xdr:row>
      <xdr:rowOff>31983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FC60EB98-9D0F-4BDD-86F1-480DEAC34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430509" y="7592291"/>
          <a:ext cx="1038095" cy="447619"/>
        </a:xfrm>
        <a:prstGeom prst="rect">
          <a:avLst/>
        </a:prstGeom>
      </xdr:spPr>
    </xdr:pic>
    <xdr:clientData/>
  </xdr:twoCellAnchor>
  <xdr:twoCellAnchor editAs="oneCell">
    <xdr:from>
      <xdr:col>35</xdr:col>
      <xdr:colOff>637310</xdr:colOff>
      <xdr:row>103</xdr:row>
      <xdr:rowOff>138545</xdr:rowOff>
    </xdr:from>
    <xdr:to>
      <xdr:col>36</xdr:col>
      <xdr:colOff>515149</xdr:colOff>
      <xdr:row>105</xdr:row>
      <xdr:rowOff>824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2C72326-B8F5-40CA-8C91-E610A627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456728" y="9324109"/>
          <a:ext cx="542857" cy="333333"/>
        </a:xfrm>
        <a:prstGeom prst="rect">
          <a:avLst/>
        </a:prstGeom>
      </xdr:spPr>
    </xdr:pic>
    <xdr:clientData/>
  </xdr:twoCellAnchor>
  <xdr:twoCellAnchor editAs="oneCell">
    <xdr:from>
      <xdr:col>35</xdr:col>
      <xdr:colOff>13856</xdr:colOff>
      <xdr:row>104</xdr:row>
      <xdr:rowOff>207817</xdr:rowOff>
    </xdr:from>
    <xdr:to>
      <xdr:col>38</xdr:col>
      <xdr:colOff>37850</xdr:colOff>
      <xdr:row>110</xdr:row>
      <xdr:rowOff>158462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DFC8C3F7-611B-40D4-A32D-C2E625FF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833274" y="9628908"/>
          <a:ext cx="2019048" cy="1363809"/>
        </a:xfrm>
        <a:prstGeom prst="rect">
          <a:avLst/>
        </a:prstGeom>
      </xdr:spPr>
    </xdr:pic>
    <xdr:clientData/>
  </xdr:twoCellAnchor>
  <xdr:twoCellAnchor editAs="oneCell">
    <xdr:from>
      <xdr:col>36</xdr:col>
      <xdr:colOff>609599</xdr:colOff>
      <xdr:row>114</xdr:row>
      <xdr:rowOff>83127</xdr:rowOff>
    </xdr:from>
    <xdr:to>
      <xdr:col>44</xdr:col>
      <xdr:colOff>213264</xdr:colOff>
      <xdr:row>132</xdr:row>
      <xdr:rowOff>15065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1DDB102-8062-4D3B-A09A-824C8FC7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232581" y="11859491"/>
          <a:ext cx="4923809" cy="4171429"/>
        </a:xfrm>
        <a:prstGeom prst="rect">
          <a:avLst/>
        </a:prstGeom>
      </xdr:spPr>
    </xdr:pic>
    <xdr:clientData/>
  </xdr:twoCellAnchor>
  <xdr:twoCellAnchor editAs="oneCell">
    <xdr:from>
      <xdr:col>44</xdr:col>
      <xdr:colOff>207820</xdr:colOff>
      <xdr:row>114</xdr:row>
      <xdr:rowOff>45263</xdr:rowOff>
    </xdr:from>
    <xdr:to>
      <xdr:col>52</xdr:col>
      <xdr:colOff>443345</xdr:colOff>
      <xdr:row>148</xdr:row>
      <xdr:rowOff>86747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F6E0520-984C-4E73-B392-0558ABEFB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150947" y="11821627"/>
          <a:ext cx="5555672" cy="8049411"/>
        </a:xfrm>
        <a:prstGeom prst="rect">
          <a:avLst/>
        </a:prstGeom>
      </xdr:spPr>
    </xdr:pic>
    <xdr:clientData/>
  </xdr:twoCellAnchor>
  <xdr:twoCellAnchor editAs="oneCell">
    <xdr:from>
      <xdr:col>3</xdr:col>
      <xdr:colOff>207818</xdr:colOff>
      <xdr:row>147</xdr:row>
      <xdr:rowOff>69272</xdr:rowOff>
    </xdr:from>
    <xdr:to>
      <xdr:col>5</xdr:col>
      <xdr:colOff>953192</xdr:colOff>
      <xdr:row>170</xdr:row>
      <xdr:rowOff>33097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65F2EE8-4CC4-4A4C-8577-58881FC8B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07127" y="19618036"/>
          <a:ext cx="3361905" cy="5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1177636</xdr:colOff>
      <xdr:row>147</xdr:row>
      <xdr:rowOff>55418</xdr:rowOff>
    </xdr:from>
    <xdr:to>
      <xdr:col>25</xdr:col>
      <xdr:colOff>475162</xdr:colOff>
      <xdr:row>170</xdr:row>
      <xdr:rowOff>47815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433A8EEC-6084-4AC7-9CDE-E30B7B29C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389418" y="19604182"/>
          <a:ext cx="5742857" cy="5409524"/>
        </a:xfrm>
        <a:prstGeom prst="rect">
          <a:avLst/>
        </a:prstGeom>
      </xdr:spPr>
    </xdr:pic>
    <xdr:clientData/>
  </xdr:twoCellAnchor>
  <xdr:twoCellAnchor>
    <xdr:from>
      <xdr:col>8</xdr:col>
      <xdr:colOff>928254</xdr:colOff>
      <xdr:row>150</xdr:row>
      <xdr:rowOff>55419</xdr:rowOff>
    </xdr:from>
    <xdr:to>
      <xdr:col>26</xdr:col>
      <xdr:colOff>221673</xdr:colOff>
      <xdr:row>168</xdr:row>
      <xdr:rowOff>69273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8B19E6DB-B83A-41E0-8969-752CE01D7F56}"/>
            </a:ext>
          </a:extLst>
        </xdr:cNvPr>
        <xdr:cNvSpPr/>
      </xdr:nvSpPr>
      <xdr:spPr>
        <a:xfrm>
          <a:off x="8714509" y="20310764"/>
          <a:ext cx="2479964" cy="425334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576942</xdr:colOff>
      <xdr:row>112</xdr:row>
      <xdr:rowOff>217714</xdr:rowOff>
    </xdr:from>
    <xdr:to>
      <xdr:col>5</xdr:col>
      <xdr:colOff>166942</xdr:colOff>
      <xdr:row>126</xdr:row>
      <xdr:rowOff>93504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137AF84C-C5FC-49F6-98E0-891101257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83771" y="11560628"/>
          <a:ext cx="3400000" cy="30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435430</xdr:colOff>
      <xdr:row>113</xdr:row>
      <xdr:rowOff>32657</xdr:rowOff>
    </xdr:from>
    <xdr:to>
      <xdr:col>8</xdr:col>
      <xdr:colOff>205050</xdr:colOff>
      <xdr:row>126</xdr:row>
      <xdr:rowOff>137047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1AA53CA2-3537-4BC3-B957-2C239FB1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48201" y="11604171"/>
          <a:ext cx="3361905" cy="30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1023257</xdr:colOff>
      <xdr:row>126</xdr:row>
      <xdr:rowOff>119742</xdr:rowOff>
    </xdr:from>
    <xdr:to>
      <xdr:col>6</xdr:col>
      <xdr:colOff>575162</xdr:colOff>
      <xdr:row>139</xdr:row>
      <xdr:rowOff>147942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B6E7957-5A3B-4BAF-A8A2-2DBDD3E3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427514" y="14663056"/>
          <a:ext cx="3361905" cy="300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163286</xdr:colOff>
      <xdr:row>137</xdr:row>
      <xdr:rowOff>185057</xdr:rowOff>
    </xdr:from>
    <xdr:to>
      <xdr:col>30</xdr:col>
      <xdr:colOff>475706</xdr:colOff>
      <xdr:row>160</xdr:row>
      <xdr:rowOff>212971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FE14DD2-8601-44E3-B612-F209F6E2A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840686" y="17242971"/>
          <a:ext cx="4361905" cy="5285714"/>
        </a:xfrm>
        <a:prstGeom prst="rect">
          <a:avLst/>
        </a:prstGeom>
      </xdr:spPr>
    </xdr:pic>
    <xdr:clientData/>
  </xdr:twoCellAnchor>
  <xdr:twoCellAnchor editAs="oneCell">
    <xdr:from>
      <xdr:col>30</xdr:col>
      <xdr:colOff>522514</xdr:colOff>
      <xdr:row>137</xdr:row>
      <xdr:rowOff>206828</xdr:rowOff>
    </xdr:from>
    <xdr:to>
      <xdr:col>37</xdr:col>
      <xdr:colOff>674304</xdr:colOff>
      <xdr:row>162</xdr:row>
      <xdr:rowOff>25161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68AF765-46C6-4933-9652-A4E29F8D8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249400" y="17264742"/>
          <a:ext cx="4876190" cy="5533333"/>
        </a:xfrm>
        <a:prstGeom prst="rect">
          <a:avLst/>
        </a:prstGeom>
      </xdr:spPr>
    </xdr:pic>
    <xdr:clientData/>
  </xdr:twoCellAnchor>
  <xdr:twoCellAnchor editAs="oneCell">
    <xdr:from>
      <xdr:col>25</xdr:col>
      <xdr:colOff>293914</xdr:colOff>
      <xdr:row>169</xdr:row>
      <xdr:rowOff>10886</xdr:rowOff>
    </xdr:from>
    <xdr:to>
      <xdr:col>36</xdr:col>
      <xdr:colOff>269857</xdr:colOff>
      <xdr:row>181</xdr:row>
      <xdr:rowOff>134353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EA43FE8-9EF9-420B-B65A-A5F4F456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646228" y="24384000"/>
          <a:ext cx="7400000" cy="2866667"/>
        </a:xfrm>
        <a:prstGeom prst="rect">
          <a:avLst/>
        </a:prstGeom>
      </xdr:spPr>
    </xdr:pic>
    <xdr:clientData/>
  </xdr:twoCellAnchor>
  <xdr:twoCellAnchor editAs="oneCell">
    <xdr:from>
      <xdr:col>25</xdr:col>
      <xdr:colOff>195944</xdr:colOff>
      <xdr:row>181</xdr:row>
      <xdr:rowOff>130629</xdr:rowOff>
    </xdr:from>
    <xdr:to>
      <xdr:col>30</xdr:col>
      <xdr:colOff>411849</xdr:colOff>
      <xdr:row>193</xdr:row>
      <xdr:rowOff>168381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8FC58742-5CF4-43D8-B401-6B459E94D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548258" y="27246943"/>
          <a:ext cx="3590476" cy="2780952"/>
        </a:xfrm>
        <a:prstGeom prst="rect">
          <a:avLst/>
        </a:prstGeom>
      </xdr:spPr>
    </xdr:pic>
    <xdr:clientData/>
  </xdr:twoCellAnchor>
  <xdr:twoCellAnchor editAs="oneCell">
    <xdr:from>
      <xdr:col>30</xdr:col>
      <xdr:colOff>468085</xdr:colOff>
      <xdr:row>182</xdr:row>
      <xdr:rowOff>10886</xdr:rowOff>
    </xdr:from>
    <xdr:to>
      <xdr:col>35</xdr:col>
      <xdr:colOff>664942</xdr:colOff>
      <xdr:row>191</xdr:row>
      <xdr:rowOff>67772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93477311-1358-4593-9C5D-73B22302B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194971" y="27355800"/>
          <a:ext cx="3571429" cy="2114286"/>
        </a:xfrm>
        <a:prstGeom prst="rect">
          <a:avLst/>
        </a:prstGeom>
      </xdr:spPr>
    </xdr:pic>
    <xdr:clientData/>
  </xdr:twoCellAnchor>
  <xdr:twoCellAnchor editAs="oneCell">
    <xdr:from>
      <xdr:col>38</xdr:col>
      <xdr:colOff>130629</xdr:colOff>
      <xdr:row>138</xdr:row>
      <xdr:rowOff>43543</xdr:rowOff>
    </xdr:from>
    <xdr:to>
      <xdr:col>50</xdr:col>
      <xdr:colOff>603086</xdr:colOff>
      <xdr:row>175</xdr:row>
      <xdr:rowOff>204391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076D3F3-9362-4C42-A406-D205046B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256829" y="17330057"/>
          <a:ext cx="8571428" cy="86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1099457</xdr:colOff>
      <xdr:row>100</xdr:row>
      <xdr:rowOff>206828</xdr:rowOff>
    </xdr:from>
    <xdr:to>
      <xdr:col>34</xdr:col>
      <xdr:colOff>271123</xdr:colOff>
      <xdr:row>111</xdr:row>
      <xdr:rowOff>225561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9663CABF-9D06-4234-BFE9-0378DA1E2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523514" y="8806542"/>
          <a:ext cx="8152381" cy="25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925286</xdr:colOff>
      <xdr:row>111</xdr:row>
      <xdr:rowOff>108858</xdr:rowOff>
    </xdr:from>
    <xdr:to>
      <xdr:col>34</xdr:col>
      <xdr:colOff>363619</xdr:colOff>
      <xdr:row>124</xdr:row>
      <xdr:rowOff>146582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24F891AE-27A7-438B-8176-4A6CEAA2D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49343" y="11223172"/>
          <a:ext cx="8419048" cy="30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195941</xdr:colOff>
      <xdr:row>78</xdr:row>
      <xdr:rowOff>152400</xdr:rowOff>
    </xdr:from>
    <xdr:to>
      <xdr:col>8</xdr:col>
      <xdr:colOff>279370</xdr:colOff>
      <xdr:row>116</xdr:row>
      <xdr:rowOff>132267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420251E-EDA7-42EA-9070-99921AD62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02770" y="3722914"/>
          <a:ext cx="7485714" cy="8666667"/>
        </a:xfrm>
        <a:prstGeom prst="rect">
          <a:avLst/>
        </a:prstGeom>
      </xdr:spPr>
    </xdr:pic>
    <xdr:clientData/>
  </xdr:twoCellAnchor>
  <xdr:twoCellAnchor editAs="oneCell">
    <xdr:from>
      <xdr:col>24</xdr:col>
      <xdr:colOff>468085</xdr:colOff>
      <xdr:row>9</xdr:row>
      <xdr:rowOff>21771</xdr:rowOff>
    </xdr:from>
    <xdr:to>
      <xdr:col>35</xdr:col>
      <xdr:colOff>567837</xdr:colOff>
      <xdr:row>100</xdr:row>
      <xdr:rowOff>42486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58C7539-6D31-47C2-8785-015214ED7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308771" y="185057"/>
          <a:ext cx="7523809" cy="8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76265</xdr:colOff>
      <xdr:row>36</xdr:row>
      <xdr:rowOff>220980</xdr:rowOff>
    </xdr:from>
    <xdr:to>
      <xdr:col>29</xdr:col>
      <xdr:colOff>175260</xdr:colOff>
      <xdr:row>73</xdr:row>
      <xdr:rowOff>71018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1550731-5CD7-417C-8D8B-3F413956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87325" y="1112520"/>
          <a:ext cx="1440115" cy="865495"/>
        </a:xfrm>
        <a:prstGeom prst="rect">
          <a:avLst/>
        </a:prstGeom>
      </xdr:spPr>
    </xdr:pic>
    <xdr:clientData/>
  </xdr:twoCellAnchor>
  <xdr:twoCellAnchor editAs="oneCell">
    <xdr:from>
      <xdr:col>30</xdr:col>
      <xdr:colOff>647700</xdr:colOff>
      <xdr:row>40</xdr:row>
      <xdr:rowOff>221769</xdr:rowOff>
    </xdr:from>
    <xdr:to>
      <xdr:col>32</xdr:col>
      <xdr:colOff>632777</xdr:colOff>
      <xdr:row>73</xdr:row>
      <xdr:rowOff>51343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21B2DEB-9F18-4398-B3AC-25B8F839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70440" y="1112520"/>
          <a:ext cx="1326197" cy="852324"/>
        </a:xfrm>
        <a:prstGeom prst="rect">
          <a:avLst/>
        </a:prstGeom>
      </xdr:spPr>
    </xdr:pic>
    <xdr:clientData/>
  </xdr:twoCellAnchor>
  <xdr:twoCellAnchor editAs="oneCell">
    <xdr:from>
      <xdr:col>33</xdr:col>
      <xdr:colOff>30481</xdr:colOff>
      <xdr:row>40</xdr:row>
      <xdr:rowOff>166404</xdr:rowOff>
    </xdr:from>
    <xdr:to>
      <xdr:col>34</xdr:col>
      <xdr:colOff>640081</xdr:colOff>
      <xdr:row>73</xdr:row>
      <xdr:rowOff>155654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67DA287-A242-499A-83D4-7DDAF2E2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964901" y="1112520"/>
          <a:ext cx="1280160" cy="950131"/>
        </a:xfrm>
        <a:prstGeom prst="rect">
          <a:avLst/>
        </a:prstGeom>
      </xdr:spPr>
    </xdr:pic>
    <xdr:clientData/>
  </xdr:twoCellAnchor>
  <xdr:twoCellAnchor editAs="oneCell">
    <xdr:from>
      <xdr:col>35</xdr:col>
      <xdr:colOff>146355</xdr:colOff>
      <xdr:row>41</xdr:row>
      <xdr:rowOff>0</xdr:rowOff>
    </xdr:from>
    <xdr:to>
      <xdr:col>37</xdr:col>
      <xdr:colOff>530388</xdr:colOff>
      <xdr:row>73</xdr:row>
      <xdr:rowOff>40070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D3FD743-BF92-4D4F-A68F-A79161C6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21895" y="1112520"/>
          <a:ext cx="1725152" cy="834547"/>
        </a:xfrm>
        <a:prstGeom prst="rect">
          <a:avLst/>
        </a:prstGeom>
      </xdr:spPr>
    </xdr:pic>
    <xdr:clientData/>
  </xdr:twoCellAnchor>
  <xdr:twoCellAnchor editAs="oneCell">
    <xdr:from>
      <xdr:col>38</xdr:col>
      <xdr:colOff>22860</xdr:colOff>
      <xdr:row>40</xdr:row>
      <xdr:rowOff>215605</xdr:rowOff>
    </xdr:from>
    <xdr:to>
      <xdr:col>40</xdr:col>
      <xdr:colOff>604630</xdr:colOff>
      <xdr:row>69</xdr:row>
      <xdr:rowOff>786772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CBA23BB-FD12-48E7-97DD-5772C66D2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10080" y="1112520"/>
          <a:ext cx="1922890" cy="792355"/>
        </a:xfrm>
        <a:prstGeom prst="rect">
          <a:avLst/>
        </a:prstGeom>
      </xdr:spPr>
    </xdr:pic>
    <xdr:clientData/>
  </xdr:twoCellAnchor>
  <xdr:twoCellAnchor editAs="oneCell">
    <xdr:from>
      <xdr:col>26</xdr:col>
      <xdr:colOff>561885</xdr:colOff>
      <xdr:row>26</xdr:row>
      <xdr:rowOff>190500</xdr:rowOff>
    </xdr:from>
    <xdr:to>
      <xdr:col>28</xdr:col>
      <xdr:colOff>288889</xdr:colOff>
      <xdr:row>69</xdr:row>
      <xdr:rowOff>787590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5C30BE3-A4E2-4FBA-A53B-707D82C3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02385" y="1112520"/>
          <a:ext cx="1068124" cy="793173"/>
        </a:xfrm>
        <a:prstGeom prst="rect">
          <a:avLst/>
        </a:prstGeom>
      </xdr:spPr>
    </xdr:pic>
    <xdr:clientData/>
  </xdr:twoCellAnchor>
  <xdr:twoCellAnchor editAs="oneCell">
    <xdr:from>
      <xdr:col>18</xdr:col>
      <xdr:colOff>510988</xdr:colOff>
      <xdr:row>113</xdr:row>
      <xdr:rowOff>106354</xdr:rowOff>
    </xdr:from>
    <xdr:to>
      <xdr:col>22</xdr:col>
      <xdr:colOff>1230607</xdr:colOff>
      <xdr:row>121</xdr:row>
      <xdr:rowOff>10887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BCA28AC-7963-4480-9369-294063388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63035" y="10317154"/>
          <a:ext cx="3686936" cy="1769192"/>
        </a:xfrm>
        <a:prstGeom prst="rect">
          <a:avLst/>
        </a:prstGeom>
      </xdr:spPr>
    </xdr:pic>
    <xdr:clientData/>
  </xdr:twoCellAnchor>
  <xdr:twoCellAnchor editAs="oneCell">
    <xdr:from>
      <xdr:col>3</xdr:col>
      <xdr:colOff>328843</xdr:colOff>
      <xdr:row>110</xdr:row>
      <xdr:rowOff>51215</xdr:rowOff>
    </xdr:from>
    <xdr:to>
      <xdr:col>18</xdr:col>
      <xdr:colOff>1</xdr:colOff>
      <xdr:row>123</xdr:row>
      <xdr:rowOff>37581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64B3C9E-2F9C-4B4B-B4C4-877CA506F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8419" y="9562768"/>
          <a:ext cx="3319794" cy="301643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107</xdr:row>
      <xdr:rowOff>0</xdr:rowOff>
    </xdr:from>
    <xdr:to>
      <xdr:col>30</xdr:col>
      <xdr:colOff>199587</xdr:colOff>
      <xdr:row>132</xdr:row>
      <xdr:rowOff>172941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0A76F52-FE38-4149-AC49-AFD08ED4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93976" y="8812306"/>
          <a:ext cx="7980952" cy="6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107577</xdr:colOff>
      <xdr:row>78</xdr:row>
      <xdr:rowOff>35858</xdr:rowOff>
    </xdr:from>
    <xdr:to>
      <xdr:col>22</xdr:col>
      <xdr:colOff>1441096</xdr:colOff>
      <xdr:row>116</xdr:row>
      <xdr:rowOff>56673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649D0C0-15DC-42C9-BC09-ADEB7094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577" y="2877670"/>
          <a:ext cx="8819048" cy="8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43956</xdr:colOff>
      <xdr:row>14</xdr:row>
      <xdr:rowOff>48428</xdr:rowOff>
    </xdr:from>
    <xdr:to>
      <xdr:col>14</xdr:col>
      <xdr:colOff>106280</xdr:colOff>
      <xdr:row>36</xdr:row>
      <xdr:rowOff>65316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473ED3-CDF9-48BE-A207-FA448B69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555171</xdr:colOff>
      <xdr:row>12</xdr:row>
      <xdr:rowOff>54428</xdr:rowOff>
    </xdr:from>
    <xdr:to>
      <xdr:col>18</xdr:col>
      <xdr:colOff>609600</xdr:colOff>
      <xdr:row>15</xdr:row>
      <xdr:rowOff>65314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B0C7D2DA-9D55-4923-8D84-FDBD21C64DF2}"/>
            </a:ext>
          </a:extLst>
        </xdr:cNvPr>
        <xdr:cNvSpPr/>
      </xdr:nvSpPr>
      <xdr:spPr>
        <a:xfrm>
          <a:off x="10961914" y="3189514"/>
          <a:ext cx="2754086" cy="69668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15</xdr:col>
      <xdr:colOff>401783</xdr:colOff>
      <xdr:row>3</xdr:row>
      <xdr:rowOff>193963</xdr:rowOff>
    </xdr:from>
    <xdr:to>
      <xdr:col>35</xdr:col>
      <xdr:colOff>501419</xdr:colOff>
      <xdr:row>22</xdr:row>
      <xdr:rowOff>185612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36250D-3CAB-4B0D-8601-FFB195687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1819" y="1274618"/>
          <a:ext cx="13400000" cy="4466667"/>
        </a:xfrm>
        <a:prstGeom prst="rect">
          <a:avLst/>
        </a:prstGeom>
      </xdr:spPr>
    </xdr:pic>
    <xdr:clientData/>
  </xdr:twoCellAnchor>
  <xdr:twoCellAnchor editAs="oneCell">
    <xdr:from>
      <xdr:col>15</xdr:col>
      <xdr:colOff>346364</xdr:colOff>
      <xdr:row>22</xdr:row>
      <xdr:rowOff>138545</xdr:rowOff>
    </xdr:from>
    <xdr:to>
      <xdr:col>35</xdr:col>
      <xdr:colOff>471055</xdr:colOff>
      <xdr:row>40</xdr:row>
      <xdr:rowOff>54739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B48CE94-D0E5-49F7-BB37-F6EA20E7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6400" y="5694218"/>
          <a:ext cx="13425055" cy="41556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650966</xdr:colOff>
      <xdr:row>14</xdr:row>
      <xdr:rowOff>93361</xdr:rowOff>
    </xdr:from>
    <xdr:to>
      <xdr:col>14</xdr:col>
      <xdr:colOff>353786</xdr:colOff>
      <xdr:row>36</xdr:row>
      <xdr:rowOff>65314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E8FEC255-C153-469D-B520-9A30CFF5C7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79</xdr:row>
      <xdr:rowOff>182880</xdr:rowOff>
    </xdr:from>
    <xdr:to>
      <xdr:col>24</xdr:col>
      <xdr:colOff>525230</xdr:colOff>
      <xdr:row>100</xdr:row>
      <xdr:rowOff>201327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F9D85B5-5726-4BBB-951B-62825624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537680"/>
          <a:ext cx="6580952" cy="4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429491</xdr:colOff>
      <xdr:row>1</xdr:row>
      <xdr:rowOff>332508</xdr:rowOff>
    </xdr:from>
    <xdr:to>
      <xdr:col>34</xdr:col>
      <xdr:colOff>510079</xdr:colOff>
      <xdr:row>22</xdr:row>
      <xdr:rowOff>133661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9EC49A2-969C-4E9D-A422-A57553CE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4509" y="692726"/>
          <a:ext cx="13380952" cy="4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387928</xdr:colOff>
      <xdr:row>22</xdr:row>
      <xdr:rowOff>221674</xdr:rowOff>
    </xdr:from>
    <xdr:to>
      <xdr:col>21</xdr:col>
      <xdr:colOff>256610</xdr:colOff>
      <xdr:row>42</xdr:row>
      <xdr:rowOff>15890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D70F7A-BF46-4D22-992C-332646CB8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2946" y="5209310"/>
          <a:ext cx="4523809" cy="4504762"/>
        </a:xfrm>
        <a:prstGeom prst="rect">
          <a:avLst/>
        </a:prstGeom>
      </xdr:spPr>
    </xdr:pic>
    <xdr:clientData/>
  </xdr:twoCellAnchor>
  <xdr:twoCellAnchor editAs="oneCell">
    <xdr:from>
      <xdr:col>21</xdr:col>
      <xdr:colOff>290946</xdr:colOff>
      <xdr:row>23</xdr:row>
      <xdr:rowOff>69272</xdr:rowOff>
    </xdr:from>
    <xdr:to>
      <xdr:col>34</xdr:col>
      <xdr:colOff>531423</xdr:colOff>
      <xdr:row>42</xdr:row>
      <xdr:rowOff>3778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B354F4F-26F9-4F5F-8E48-5D9986B6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11091" y="5292436"/>
          <a:ext cx="8885714" cy="4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415637</xdr:colOff>
      <xdr:row>42</xdr:row>
      <xdr:rowOff>96982</xdr:rowOff>
    </xdr:from>
    <xdr:to>
      <xdr:col>35</xdr:col>
      <xdr:colOff>612160</xdr:colOff>
      <xdr:row>57</xdr:row>
      <xdr:rowOff>202168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0F9D386-C609-424E-9E12-25F461B2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0655" y="9795164"/>
          <a:ext cx="14161905" cy="36380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429399</xdr:colOff>
      <xdr:row>13</xdr:row>
      <xdr:rowOff>145484</xdr:rowOff>
    </xdr:from>
    <xdr:to>
      <xdr:col>13</xdr:col>
      <xdr:colOff>10886</xdr:colOff>
      <xdr:row>32</xdr:row>
      <xdr:rowOff>174172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5B579404-04B3-4885-99CD-FBA812367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522514</xdr:colOff>
      <xdr:row>61</xdr:row>
      <xdr:rowOff>65314</xdr:rowOff>
    </xdr:from>
    <xdr:to>
      <xdr:col>15</xdr:col>
      <xdr:colOff>251952</xdr:colOff>
      <xdr:row>76</xdr:row>
      <xdr:rowOff>102981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10CE35-0B7D-4169-AE37-53844EEE5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2343" y="14401800"/>
          <a:ext cx="9123809" cy="3466667"/>
        </a:xfrm>
        <a:prstGeom prst="rect">
          <a:avLst/>
        </a:prstGeom>
      </xdr:spPr>
    </xdr:pic>
    <xdr:clientData/>
  </xdr:twoCellAnchor>
  <xdr:twoCellAnchor editAs="oneCell">
    <xdr:from>
      <xdr:col>3</xdr:col>
      <xdr:colOff>174171</xdr:colOff>
      <xdr:row>76</xdr:row>
      <xdr:rowOff>97972</xdr:rowOff>
    </xdr:from>
    <xdr:to>
      <xdr:col>15</xdr:col>
      <xdr:colOff>416619</xdr:colOff>
      <xdr:row>87</xdr:row>
      <xdr:rowOff>145277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C42BD3F-3648-48E2-B4C3-EA8422165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8914" y="17863458"/>
          <a:ext cx="8961905" cy="25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359228</xdr:colOff>
      <xdr:row>92</xdr:row>
      <xdr:rowOff>76200</xdr:rowOff>
    </xdr:from>
    <xdr:to>
      <xdr:col>13</xdr:col>
      <xdr:colOff>597819</xdr:colOff>
      <xdr:row>107</xdr:row>
      <xdr:rowOff>151962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EF95348-476A-431B-8B30-07727CDC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3971" y="21499286"/>
          <a:ext cx="7161905" cy="35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359228</xdr:colOff>
      <xdr:row>107</xdr:row>
      <xdr:rowOff>43543</xdr:rowOff>
    </xdr:from>
    <xdr:to>
      <xdr:col>13</xdr:col>
      <xdr:colOff>483533</xdr:colOff>
      <xdr:row>121</xdr:row>
      <xdr:rowOff>109810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2B7A539-ECAF-4B68-893E-87DE7522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3971" y="24895629"/>
          <a:ext cx="7047619" cy="3266667"/>
        </a:xfrm>
        <a:prstGeom prst="rect">
          <a:avLst/>
        </a:prstGeom>
      </xdr:spPr>
    </xdr:pic>
    <xdr:clientData/>
  </xdr:twoCellAnchor>
  <xdr:twoCellAnchor editAs="oneCell">
    <xdr:from>
      <xdr:col>3</xdr:col>
      <xdr:colOff>283028</xdr:colOff>
      <xdr:row>121</xdr:row>
      <xdr:rowOff>174172</xdr:rowOff>
    </xdr:from>
    <xdr:to>
      <xdr:col>13</xdr:col>
      <xdr:colOff>293047</xdr:colOff>
      <xdr:row>136</xdr:row>
      <xdr:rowOff>21362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AC5564E-3468-40E2-81CB-134773AE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07771" y="28226658"/>
          <a:ext cx="6933333" cy="3276190"/>
        </a:xfrm>
        <a:prstGeom prst="rect">
          <a:avLst/>
        </a:prstGeom>
      </xdr:spPr>
    </xdr:pic>
    <xdr:clientData/>
  </xdr:twoCellAnchor>
  <xdr:twoCellAnchor editAs="oneCell">
    <xdr:from>
      <xdr:col>13</xdr:col>
      <xdr:colOff>957943</xdr:colOff>
      <xdr:row>37</xdr:row>
      <xdr:rowOff>163286</xdr:rowOff>
    </xdr:from>
    <xdr:to>
      <xdr:col>21</xdr:col>
      <xdr:colOff>304800</xdr:colOff>
      <xdr:row>48</xdr:row>
      <xdr:rowOff>48686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1B6E7D43-495A-4F6C-A0B4-D6D341023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00" y="9013372"/>
          <a:ext cx="5192486" cy="24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489857</xdr:colOff>
      <xdr:row>39</xdr:row>
      <xdr:rowOff>108857</xdr:rowOff>
    </xdr:from>
    <xdr:to>
      <xdr:col>9</xdr:col>
      <xdr:colOff>866171</xdr:colOff>
      <xdr:row>58</xdr:row>
      <xdr:rowOff>203552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4FE4E0D-EAD7-4B60-B3D6-FB5E24C16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39686" y="9416143"/>
          <a:ext cx="4828571" cy="44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468085</xdr:colOff>
      <xdr:row>35</xdr:row>
      <xdr:rowOff>108857</xdr:rowOff>
    </xdr:from>
    <xdr:to>
      <xdr:col>9</xdr:col>
      <xdr:colOff>892629</xdr:colOff>
      <xdr:row>39</xdr:row>
      <xdr:rowOff>127790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8874584-6BCF-425E-94C9-106FC78F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17914" y="8501743"/>
          <a:ext cx="4876801" cy="933333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381000</xdr:colOff>
      <xdr:row>2</xdr:row>
      <xdr:rowOff>108857</xdr:rowOff>
    </xdr:from>
    <xdr:to>
      <xdr:col>24</xdr:col>
      <xdr:colOff>659152</xdr:colOff>
      <xdr:row>19</xdr:row>
      <xdr:rowOff>18590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2A5658F-8D14-49D4-9A61-046583AB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25200" y="838200"/>
          <a:ext cx="6352381" cy="3676190"/>
        </a:xfrm>
        <a:prstGeom prst="rect">
          <a:avLst/>
        </a:prstGeom>
      </xdr:spPr>
    </xdr:pic>
    <xdr:clientData/>
  </xdr:twoCellAnchor>
  <xdr:twoCellAnchor editAs="oneCell">
    <xdr:from>
      <xdr:col>20</xdr:col>
      <xdr:colOff>315686</xdr:colOff>
      <xdr:row>18</xdr:row>
      <xdr:rowOff>195943</xdr:rowOff>
    </xdr:from>
    <xdr:to>
      <xdr:col>25</xdr:col>
      <xdr:colOff>103019</xdr:colOff>
      <xdr:row>33</xdr:row>
      <xdr:rowOff>138372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5325B61-8AAA-4810-B68B-42EE9795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34457" y="4463143"/>
          <a:ext cx="3161905" cy="3371429"/>
        </a:xfrm>
        <a:prstGeom prst="rect">
          <a:avLst/>
        </a:prstGeom>
      </xdr:spPr>
    </xdr:pic>
    <xdr:clientData/>
  </xdr:twoCellAnchor>
  <xdr:twoCellAnchor editAs="oneCell">
    <xdr:from>
      <xdr:col>15</xdr:col>
      <xdr:colOff>424543</xdr:colOff>
      <xdr:row>19</xdr:row>
      <xdr:rowOff>43543</xdr:rowOff>
    </xdr:from>
    <xdr:to>
      <xdr:col>20</xdr:col>
      <xdr:colOff>145210</xdr:colOff>
      <xdr:row>34</xdr:row>
      <xdr:rowOff>24067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E851653-D2B6-420D-BEF6-00FA1AE6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168743" y="4539343"/>
          <a:ext cx="3095238" cy="34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7A5AE-9144-435B-8F2F-136B041C2076}">
  <dimension ref="B2:E44"/>
  <sheetViews>
    <sheetView showGridLines="0" zoomScale="85" zoomScaleNormal="85" workbookViewId="0">
      <selection activeCell="J21" sqref="J21"/>
    </sheetView>
  </sheetViews>
  <sheetFormatPr defaultRowHeight="18"/>
  <cols>
    <col min="1" max="1" width="24.796875" customWidth="1"/>
    <col min="2" max="2" width="21.796875" customWidth="1"/>
    <col min="3" max="3" width="9.3984375" bestFit="1" customWidth="1"/>
  </cols>
  <sheetData>
    <row r="2" spans="2:4" ht="18.600000000000001" thickBot="1">
      <c r="B2" s="83" t="s">
        <v>295</v>
      </c>
    </row>
    <row r="3" spans="2:4" ht="36">
      <c r="B3" s="114" t="s">
        <v>285</v>
      </c>
      <c r="C3" s="115" t="s">
        <v>270</v>
      </c>
      <c r="D3" s="116" t="s">
        <v>247</v>
      </c>
    </row>
    <row r="4" spans="2:4">
      <c r="B4" s="88" t="s">
        <v>296</v>
      </c>
      <c r="C4" s="111">
        <f>5024149/1000</f>
        <v>5024.1490000000003</v>
      </c>
      <c r="D4" s="117">
        <f t="shared" ref="D4:D9" si="0">C4/$C$10</f>
        <v>0.92649621289307393</v>
      </c>
    </row>
    <row r="5" spans="2:4">
      <c r="B5" s="88" t="s">
        <v>297</v>
      </c>
      <c r="C5" s="111">
        <f>398592/1000</f>
        <v>398.59199999999998</v>
      </c>
      <c r="D5" s="117">
        <f t="shared" si="0"/>
        <v>7.3503787106926177E-2</v>
      </c>
    </row>
    <row r="6" spans="2:4" ht="18.600000000000001" hidden="1" thickBot="1">
      <c r="B6" s="89"/>
      <c r="C6" s="129"/>
      <c r="D6" s="118">
        <f t="shared" si="0"/>
        <v>0</v>
      </c>
    </row>
    <row r="7" spans="2:4" hidden="1">
      <c r="B7" s="96"/>
      <c r="C7" s="196"/>
      <c r="D7" s="197">
        <f t="shared" si="0"/>
        <v>0</v>
      </c>
    </row>
    <row r="8" spans="2:4" ht="18.600000000000001" hidden="1" thickBot="1">
      <c r="B8" s="89"/>
      <c r="C8" s="191"/>
      <c r="D8" s="118">
        <f t="shared" si="0"/>
        <v>0</v>
      </c>
    </row>
    <row r="9" spans="2:4" hidden="1">
      <c r="B9" s="112"/>
      <c r="C9" s="52"/>
      <c r="D9" s="113">
        <f t="shared" si="0"/>
        <v>0</v>
      </c>
    </row>
    <row r="10" spans="2:4" hidden="1">
      <c r="C10">
        <f>SUM(C4:C9)</f>
        <v>5422.741</v>
      </c>
    </row>
    <row r="36" spans="2:5" ht="18.600000000000001" thickBot="1">
      <c r="B36" s="83" t="s">
        <v>298</v>
      </c>
    </row>
    <row r="37" spans="2:5" ht="36">
      <c r="B37" s="114" t="str">
        <f t="shared" ref="B37:B42" si="1">B3</f>
        <v>売上先別</v>
      </c>
      <c r="C37" s="115" t="s">
        <v>271</v>
      </c>
      <c r="D37" s="119" t="s">
        <v>247</v>
      </c>
      <c r="E37" s="120" t="s">
        <v>273</v>
      </c>
    </row>
    <row r="38" spans="2:5">
      <c r="B38" s="88" t="str">
        <f t="shared" si="1"/>
        <v>建設材料事業</v>
      </c>
      <c r="C38" s="111">
        <f>577760/1000</f>
        <v>577.76</v>
      </c>
      <c r="D38" s="46">
        <f>C38/$C$44</f>
        <v>0.73830803556596025</v>
      </c>
      <c r="E38" s="121">
        <f>C38/C4</f>
        <v>0.11499658947216732</v>
      </c>
    </row>
    <row r="39" spans="2:5">
      <c r="B39" s="88" t="str">
        <f t="shared" si="1"/>
        <v>不動産事業</v>
      </c>
      <c r="C39" s="111">
        <f>204786/1000</f>
        <v>204.786</v>
      </c>
      <c r="D39" s="46">
        <f>C39/$C$44</f>
        <v>0.26169196443403964</v>
      </c>
      <c r="E39" s="121">
        <f>C39/C5</f>
        <v>0.51377348265895961</v>
      </c>
    </row>
    <row r="40" spans="2:5" ht="18.600000000000001" hidden="1" thickBot="1">
      <c r="B40" s="89">
        <f t="shared" si="1"/>
        <v>0</v>
      </c>
      <c r="C40" s="129"/>
      <c r="D40" s="199">
        <f>C40/$C$44</f>
        <v>0</v>
      </c>
      <c r="E40" s="200" t="e">
        <f>C40/C6</f>
        <v>#DIV/0!</v>
      </c>
    </row>
    <row r="41" spans="2:5" hidden="1">
      <c r="B41" s="96">
        <f t="shared" si="1"/>
        <v>0</v>
      </c>
      <c r="C41" s="196"/>
      <c r="D41" s="113">
        <f>C41/$C$44</f>
        <v>0</v>
      </c>
      <c r="E41" s="198" t="e">
        <f>C41/C7</f>
        <v>#DIV/0!</v>
      </c>
    </row>
    <row r="42" spans="2:5" ht="18.600000000000001" hidden="1" thickBot="1">
      <c r="B42" s="89">
        <f t="shared" si="1"/>
        <v>0</v>
      </c>
      <c r="C42" s="129"/>
      <c r="D42" s="46">
        <f>C42/$C$44</f>
        <v>0</v>
      </c>
      <c r="E42" s="121" t="e">
        <f>C42/C8</f>
        <v>#DIV/0!</v>
      </c>
    </row>
    <row r="43" spans="2:5">
      <c r="B43" s="125"/>
      <c r="C43" s="126"/>
      <c r="D43" s="127"/>
      <c r="E43" s="128"/>
    </row>
    <row r="44" spans="2:5">
      <c r="C44" s="124">
        <f>SUM(C38:C42)</f>
        <v>782.54600000000005</v>
      </c>
    </row>
  </sheetData>
  <phoneticPr fontId="4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AA9A4-025D-474C-8A84-FE1592D60B00}">
  <dimension ref="B1:AE411"/>
  <sheetViews>
    <sheetView showGridLines="0" topLeftCell="B9" zoomScale="70" zoomScaleNormal="70" workbookViewId="0">
      <selection activeCell="X92" sqref="X92"/>
    </sheetView>
  </sheetViews>
  <sheetFormatPr defaultRowHeight="18"/>
  <cols>
    <col min="1" max="1" width="0" hidden="1" customWidth="1"/>
    <col min="2" max="2" width="2.69921875" style="39" customWidth="1"/>
    <col min="3" max="3" width="15.69921875" customWidth="1"/>
    <col min="4" max="4" width="18.5" customWidth="1"/>
    <col min="5" max="8" width="15.69921875" customWidth="1"/>
    <col min="9" max="9" width="20.3984375" style="1" customWidth="1"/>
    <col min="10" max="10" width="9.19921875" style="2" hidden="1" customWidth="1"/>
    <col min="11" max="11" width="9.59765625" style="1" hidden="1" customWidth="1"/>
    <col min="12" max="12" width="9.8984375" style="1" hidden="1" customWidth="1"/>
    <col min="13" max="13" width="7.69921875" hidden="1" customWidth="1"/>
    <col min="14" max="14" width="8.8984375" hidden="1" customWidth="1"/>
    <col min="15" max="15" width="17.3984375" hidden="1" customWidth="1"/>
    <col min="16" max="16" width="9" style="3" hidden="1" customWidth="1"/>
    <col min="17" max="17" width="8.59765625" style="3" hidden="1" customWidth="1"/>
    <col min="18" max="18" width="10.09765625" style="4" hidden="1" customWidth="1"/>
    <col min="19" max="19" width="10.796875" style="3" hidden="1" customWidth="1"/>
    <col min="20" max="20" width="9.3984375" style="5" hidden="1" customWidth="1"/>
    <col min="21" max="21" width="7.69921875" style="5" hidden="1" customWidth="1"/>
    <col min="22" max="22" width="9.3984375" style="5" hidden="1" customWidth="1"/>
    <col min="23" max="23" width="40.19921875" hidden="1" customWidth="1"/>
    <col min="24" max="31" width="8.796875" style="39"/>
  </cols>
  <sheetData>
    <row r="1" spans="2:31" hidden="1">
      <c r="C1" t="s">
        <v>0</v>
      </c>
    </row>
    <row r="2" spans="2:31" hidden="1">
      <c r="C2" t="s">
        <v>1</v>
      </c>
      <c r="L2" s="1" t="s">
        <v>2</v>
      </c>
    </row>
    <row r="3" spans="2:31" hidden="1">
      <c r="C3" t="s">
        <v>3</v>
      </c>
      <c r="H3" s="6"/>
      <c r="I3" s="1" t="s">
        <v>4</v>
      </c>
      <c r="L3" s="1" t="s">
        <v>5</v>
      </c>
    </row>
    <row r="4" spans="2:31" hidden="1">
      <c r="C4" t="s">
        <v>6</v>
      </c>
      <c r="H4" s="7"/>
      <c r="I4" s="1" t="s">
        <v>7</v>
      </c>
      <c r="L4" s="1" t="s">
        <v>8</v>
      </c>
      <c r="S4" s="3" t="s">
        <v>9</v>
      </c>
      <c r="V4" s="5" t="s">
        <v>10</v>
      </c>
    </row>
    <row r="5" spans="2:31" hidden="1">
      <c r="C5" t="s">
        <v>11</v>
      </c>
      <c r="H5" s="8"/>
      <c r="I5" s="1" t="s">
        <v>12</v>
      </c>
      <c r="L5" s="9" t="s">
        <v>13</v>
      </c>
      <c r="P5"/>
      <c r="S5" s="3" t="s">
        <v>14</v>
      </c>
      <c r="V5" s="5" t="s">
        <v>15</v>
      </c>
    </row>
    <row r="6" spans="2:31" hidden="1">
      <c r="C6" t="s">
        <v>16</v>
      </c>
      <c r="L6" s="9" t="s">
        <v>17</v>
      </c>
      <c r="S6" s="3" t="s">
        <v>18</v>
      </c>
      <c r="V6" t="s">
        <v>19</v>
      </c>
    </row>
    <row r="7" spans="2:31" hidden="1">
      <c r="C7" t="s">
        <v>20</v>
      </c>
      <c r="L7" s="9" t="s">
        <v>21</v>
      </c>
      <c r="S7" s="3" t="s">
        <v>22</v>
      </c>
    </row>
    <row r="8" spans="2:31" ht="18.600000000000001" hidden="1" thickBot="1">
      <c r="L8" s="1" t="s">
        <v>23</v>
      </c>
      <c r="P8" t="s">
        <v>24</v>
      </c>
    </row>
    <row r="9" spans="2:31" ht="13.2" customHeight="1" thickBot="1">
      <c r="P9"/>
    </row>
    <row r="10" spans="2:31" s="45" customFormat="1" ht="43.8" customHeight="1" thickBot="1">
      <c r="B10" s="39"/>
      <c r="C10" s="184" t="s">
        <v>25</v>
      </c>
      <c r="D10" s="185" t="s">
        <v>26</v>
      </c>
      <c r="E10" s="185" t="s">
        <v>27</v>
      </c>
      <c r="F10" s="182" t="s">
        <v>307</v>
      </c>
      <c r="G10" s="182" t="s">
        <v>28</v>
      </c>
      <c r="H10" s="182" t="s">
        <v>283</v>
      </c>
      <c r="I10" s="186" t="s">
        <v>30</v>
      </c>
      <c r="J10" s="148" t="s">
        <v>250</v>
      </c>
      <c r="K10" s="58" t="s">
        <v>31</v>
      </c>
      <c r="L10" s="58" t="s">
        <v>32</v>
      </c>
      <c r="M10" s="57" t="s">
        <v>33</v>
      </c>
      <c r="N10" s="57" t="s">
        <v>34</v>
      </c>
      <c r="O10" s="60" t="s">
        <v>35</v>
      </c>
      <c r="P10" s="47" t="s">
        <v>36</v>
      </c>
      <c r="Q10" s="40" t="s">
        <v>37</v>
      </c>
      <c r="R10" s="41" t="s">
        <v>38</v>
      </c>
      <c r="S10" s="42" t="s">
        <v>39</v>
      </c>
      <c r="T10" s="43" t="s">
        <v>40</v>
      </c>
      <c r="U10" s="43" t="s">
        <v>41</v>
      </c>
      <c r="V10" s="43" t="s">
        <v>42</v>
      </c>
      <c r="W10" s="44" t="s">
        <v>43</v>
      </c>
      <c r="X10" s="39"/>
      <c r="Y10" s="39"/>
      <c r="Z10" s="39"/>
      <c r="AA10" s="39"/>
      <c r="AB10" s="39"/>
      <c r="AC10" s="39"/>
      <c r="AD10" s="39"/>
      <c r="AE10" s="39"/>
    </row>
    <row r="11" spans="2:31" hidden="1">
      <c r="C11" s="157" t="s">
        <v>44</v>
      </c>
      <c r="D11" s="158" t="s">
        <v>45</v>
      </c>
      <c r="E11" s="158" t="s">
        <v>46</v>
      </c>
      <c r="F11" s="158">
        <v>619</v>
      </c>
      <c r="G11" s="158">
        <v>100</v>
      </c>
      <c r="H11" s="112">
        <f>G11*F11</f>
        <v>61900</v>
      </c>
      <c r="I11" s="159">
        <f>(95.7+117.6+112.8)/3</f>
        <v>108.7</v>
      </c>
      <c r="J11" s="149">
        <f>M11/I11</f>
        <v>0.18399264029438822</v>
      </c>
      <c r="K11" s="12">
        <v>66.7</v>
      </c>
      <c r="L11" s="12">
        <v>407.2</v>
      </c>
      <c r="M11" s="11">
        <v>20</v>
      </c>
      <c r="N11" s="11">
        <v>1000</v>
      </c>
      <c r="O11" s="62" t="s">
        <v>47</v>
      </c>
      <c r="P11" s="48">
        <f t="shared" ref="P11:P56" si="0">M11/F11</f>
        <v>3.2310177705977383E-2</v>
      </c>
      <c r="Q11" s="14">
        <f t="shared" ref="Q11:Q56" si="1">N11/(F11*G11)</f>
        <v>1.6155088852988692E-2</v>
      </c>
      <c r="R11" s="15">
        <f t="shared" ref="R11:R73" si="2">((M11*G11)+N11)/(F11*G11)</f>
        <v>4.8465266558966075E-2</v>
      </c>
      <c r="S11" s="14">
        <f>Q11/R11</f>
        <v>0.33333333333333331</v>
      </c>
      <c r="T11" s="16">
        <f t="shared" ref="T11:T56" si="3">F11/K11</f>
        <v>9.280359820089954</v>
      </c>
      <c r="U11" s="16">
        <f t="shared" ref="U11:U56" si="4">F11/L11</f>
        <v>1.5201375245579569</v>
      </c>
      <c r="V11" s="16">
        <f>T11*U11</f>
        <v>14.107423203918669</v>
      </c>
      <c r="W11" s="17" t="s">
        <v>48</v>
      </c>
    </row>
    <row r="12" spans="2:31" hidden="1">
      <c r="C12" s="61" t="s">
        <v>49</v>
      </c>
      <c r="D12" s="11"/>
      <c r="E12" s="11"/>
      <c r="F12" s="11"/>
      <c r="G12" s="11"/>
      <c r="H12" s="10"/>
      <c r="I12" s="154"/>
      <c r="J12" s="149"/>
      <c r="K12" s="12"/>
      <c r="L12" s="12"/>
      <c r="M12" s="11"/>
      <c r="N12" s="11"/>
      <c r="O12" s="62"/>
      <c r="P12" s="48" t="e">
        <f t="shared" si="0"/>
        <v>#DIV/0!</v>
      </c>
      <c r="Q12" s="14" t="e">
        <f t="shared" si="1"/>
        <v>#DIV/0!</v>
      </c>
      <c r="R12" s="15" t="e">
        <f t="shared" si="2"/>
        <v>#DIV/0!</v>
      </c>
      <c r="S12" s="14" t="e">
        <f t="shared" ref="S12:S73" si="5">Q12/R12</f>
        <v>#DIV/0!</v>
      </c>
      <c r="T12" s="16" t="e">
        <f t="shared" si="3"/>
        <v>#DIV/0!</v>
      </c>
      <c r="U12" s="16" t="e">
        <f t="shared" si="4"/>
        <v>#DIV/0!</v>
      </c>
      <c r="V12" s="16" t="e">
        <f t="shared" ref="V12:V73" si="6">T12*U12</f>
        <v>#DIV/0!</v>
      </c>
      <c r="W12" s="17" t="s">
        <v>50</v>
      </c>
    </row>
    <row r="13" spans="2:31" hidden="1">
      <c r="C13" s="61" t="s">
        <v>51</v>
      </c>
      <c r="D13" s="11"/>
      <c r="E13" s="11"/>
      <c r="F13" s="11"/>
      <c r="G13" s="11"/>
      <c r="H13" s="10">
        <f t="shared" ref="H13:H73" si="7">G13*F13</f>
        <v>0</v>
      </c>
      <c r="I13" s="154"/>
      <c r="J13" s="149"/>
      <c r="K13" s="12"/>
      <c r="L13" s="12"/>
      <c r="M13" s="11">
        <v>63</v>
      </c>
      <c r="N13" s="11">
        <f>440*5</f>
        <v>2200</v>
      </c>
      <c r="O13" s="62" t="s">
        <v>52</v>
      </c>
      <c r="P13" s="48" t="e">
        <f t="shared" si="0"/>
        <v>#DIV/0!</v>
      </c>
      <c r="Q13" s="14" t="e">
        <f t="shared" si="1"/>
        <v>#DIV/0!</v>
      </c>
      <c r="R13" s="15" t="e">
        <f t="shared" si="2"/>
        <v>#DIV/0!</v>
      </c>
      <c r="S13" s="14" t="e">
        <f t="shared" si="5"/>
        <v>#DIV/0!</v>
      </c>
      <c r="T13" s="16" t="e">
        <f t="shared" si="3"/>
        <v>#DIV/0!</v>
      </c>
      <c r="U13" s="16" t="e">
        <f t="shared" si="4"/>
        <v>#DIV/0!</v>
      </c>
      <c r="V13" s="16" t="e">
        <f t="shared" si="6"/>
        <v>#DIV/0!</v>
      </c>
      <c r="W13" s="17" t="s">
        <v>53</v>
      </c>
    </row>
    <row r="14" spans="2:31" hidden="1">
      <c r="C14" s="61" t="s">
        <v>54</v>
      </c>
      <c r="D14" s="11"/>
      <c r="E14" s="11"/>
      <c r="F14" s="11"/>
      <c r="G14" s="11"/>
      <c r="H14" s="10">
        <f t="shared" si="7"/>
        <v>0</v>
      </c>
      <c r="I14" s="154"/>
      <c r="J14" s="149"/>
      <c r="K14" s="12"/>
      <c r="L14" s="12"/>
      <c r="M14" s="11"/>
      <c r="N14" s="11"/>
      <c r="O14" s="62"/>
      <c r="P14" s="48" t="e">
        <f t="shared" si="0"/>
        <v>#DIV/0!</v>
      </c>
      <c r="Q14" s="14" t="e">
        <f t="shared" si="1"/>
        <v>#DIV/0!</v>
      </c>
      <c r="R14" s="15" t="e">
        <f t="shared" si="2"/>
        <v>#DIV/0!</v>
      </c>
      <c r="S14" s="14" t="e">
        <f t="shared" si="5"/>
        <v>#DIV/0!</v>
      </c>
      <c r="T14" s="16" t="e">
        <f t="shared" si="3"/>
        <v>#DIV/0!</v>
      </c>
      <c r="U14" s="16" t="e">
        <f t="shared" si="4"/>
        <v>#DIV/0!</v>
      </c>
      <c r="V14" s="16" t="e">
        <f t="shared" si="6"/>
        <v>#DIV/0!</v>
      </c>
      <c r="W14" s="17"/>
    </row>
    <row r="15" spans="2:31" hidden="1">
      <c r="C15" s="61" t="s">
        <v>55</v>
      </c>
      <c r="D15" s="11"/>
      <c r="E15" s="11"/>
      <c r="F15" s="11"/>
      <c r="G15" s="11"/>
      <c r="H15" s="10">
        <f t="shared" si="7"/>
        <v>0</v>
      </c>
      <c r="I15" s="154"/>
      <c r="J15" s="149"/>
      <c r="K15" s="12"/>
      <c r="L15" s="12"/>
      <c r="M15" s="11"/>
      <c r="N15" s="11"/>
      <c r="O15" s="62"/>
      <c r="P15" s="48" t="e">
        <f t="shared" si="0"/>
        <v>#DIV/0!</v>
      </c>
      <c r="Q15" s="14" t="e">
        <f t="shared" si="1"/>
        <v>#DIV/0!</v>
      </c>
      <c r="R15" s="15" t="e">
        <f t="shared" si="2"/>
        <v>#DIV/0!</v>
      </c>
      <c r="S15" s="14" t="e">
        <f t="shared" si="5"/>
        <v>#DIV/0!</v>
      </c>
      <c r="T15" s="16" t="e">
        <f t="shared" si="3"/>
        <v>#DIV/0!</v>
      </c>
      <c r="U15" s="16" t="e">
        <f t="shared" si="4"/>
        <v>#DIV/0!</v>
      </c>
      <c r="V15" s="16" t="e">
        <f t="shared" si="6"/>
        <v>#DIV/0!</v>
      </c>
      <c r="W15" s="17"/>
    </row>
    <row r="16" spans="2:31" hidden="1">
      <c r="C16" s="61" t="s">
        <v>56</v>
      </c>
      <c r="D16" s="11"/>
      <c r="E16" s="11"/>
      <c r="F16" s="11"/>
      <c r="G16" s="11"/>
      <c r="H16" s="10">
        <f t="shared" si="7"/>
        <v>0</v>
      </c>
      <c r="I16" s="154"/>
      <c r="J16" s="149"/>
      <c r="K16" s="12"/>
      <c r="L16" s="12"/>
      <c r="M16" s="11"/>
      <c r="N16" s="11"/>
      <c r="O16" s="62"/>
      <c r="P16" s="48" t="e">
        <f t="shared" si="0"/>
        <v>#DIV/0!</v>
      </c>
      <c r="Q16" s="14" t="e">
        <f t="shared" si="1"/>
        <v>#DIV/0!</v>
      </c>
      <c r="R16" s="15" t="e">
        <f t="shared" si="2"/>
        <v>#DIV/0!</v>
      </c>
      <c r="S16" s="14" t="e">
        <f t="shared" si="5"/>
        <v>#DIV/0!</v>
      </c>
      <c r="T16" s="16" t="e">
        <f t="shared" si="3"/>
        <v>#DIV/0!</v>
      </c>
      <c r="U16" s="16" t="e">
        <f t="shared" si="4"/>
        <v>#DIV/0!</v>
      </c>
      <c r="V16" s="16" t="e">
        <f t="shared" si="6"/>
        <v>#DIV/0!</v>
      </c>
      <c r="W16" s="17"/>
    </row>
    <row r="17" spans="2:31" hidden="1">
      <c r="C17" s="61" t="s">
        <v>57</v>
      </c>
      <c r="D17" s="11"/>
      <c r="E17" s="11"/>
      <c r="F17" s="11"/>
      <c r="G17" s="11"/>
      <c r="H17" s="10">
        <f t="shared" si="7"/>
        <v>0</v>
      </c>
      <c r="I17" s="154"/>
      <c r="J17" s="149"/>
      <c r="K17" s="12"/>
      <c r="L17" s="12"/>
      <c r="M17" s="11"/>
      <c r="N17" s="11"/>
      <c r="O17" s="62"/>
      <c r="P17" s="48" t="e">
        <f t="shared" si="0"/>
        <v>#DIV/0!</v>
      </c>
      <c r="Q17" s="14" t="e">
        <f t="shared" si="1"/>
        <v>#DIV/0!</v>
      </c>
      <c r="R17" s="15" t="e">
        <f t="shared" si="2"/>
        <v>#DIV/0!</v>
      </c>
      <c r="S17" s="14" t="e">
        <f t="shared" si="5"/>
        <v>#DIV/0!</v>
      </c>
      <c r="T17" s="16" t="e">
        <f t="shared" si="3"/>
        <v>#DIV/0!</v>
      </c>
      <c r="U17" s="16" t="e">
        <f t="shared" si="4"/>
        <v>#DIV/0!</v>
      </c>
      <c r="V17" s="16" t="e">
        <f t="shared" si="6"/>
        <v>#DIV/0!</v>
      </c>
      <c r="W17" s="17"/>
    </row>
    <row r="18" spans="2:31" hidden="1">
      <c r="C18" s="61" t="s">
        <v>58</v>
      </c>
      <c r="D18" s="11" t="s">
        <v>59</v>
      </c>
      <c r="E18" s="11" t="s">
        <v>60</v>
      </c>
      <c r="F18" s="11">
        <v>981</v>
      </c>
      <c r="G18" s="11">
        <v>100</v>
      </c>
      <c r="H18" s="10">
        <f t="shared" si="7"/>
        <v>98100</v>
      </c>
      <c r="I18" s="154">
        <f>(119.5+133.4+132.4)/3</f>
        <v>128.43333333333334</v>
      </c>
      <c r="J18" s="149">
        <f t="shared" ref="J18:J73" si="8">M18/I18</f>
        <v>0.29587334544510768</v>
      </c>
      <c r="K18" s="12">
        <v>146.19999999999999</v>
      </c>
      <c r="L18" s="12">
        <v>1405</v>
      </c>
      <c r="M18" s="11">
        <v>38</v>
      </c>
      <c r="N18" s="11">
        <v>1000</v>
      </c>
      <c r="O18" s="62" t="s">
        <v>47</v>
      </c>
      <c r="P18" s="48">
        <f t="shared" si="0"/>
        <v>3.8735983690112129E-2</v>
      </c>
      <c r="Q18" s="14">
        <f t="shared" si="1"/>
        <v>1.0193679918450561E-2</v>
      </c>
      <c r="R18" s="15">
        <f t="shared" si="2"/>
        <v>4.8929663608562692E-2</v>
      </c>
      <c r="S18" s="14">
        <f t="shared" si="5"/>
        <v>0.20833333333333334</v>
      </c>
      <c r="T18" s="16">
        <f t="shared" si="3"/>
        <v>6.7099863201094401</v>
      </c>
      <c r="U18" s="16">
        <f t="shared" si="4"/>
        <v>0.69822064056939503</v>
      </c>
      <c r="V18" s="18">
        <f t="shared" si="6"/>
        <v>4.6850509466386914</v>
      </c>
      <c r="W18" s="17" t="s">
        <v>61</v>
      </c>
    </row>
    <row r="19" spans="2:31" hidden="1">
      <c r="C19" s="61" t="s">
        <v>63</v>
      </c>
      <c r="D19" s="11" t="s">
        <v>64</v>
      </c>
      <c r="E19" s="11" t="s">
        <v>65</v>
      </c>
      <c r="F19" s="11">
        <v>1259</v>
      </c>
      <c r="G19" s="11">
        <v>100</v>
      </c>
      <c r="H19" s="10">
        <f t="shared" si="7"/>
        <v>125900</v>
      </c>
      <c r="I19" s="154">
        <f>(74.3+93.7+79.1)/3</f>
        <v>82.36666666666666</v>
      </c>
      <c r="J19" s="149">
        <f t="shared" si="8"/>
        <v>0.24281667341157429</v>
      </c>
      <c r="K19" s="12">
        <v>87.5</v>
      </c>
      <c r="L19" s="12">
        <v>761.1</v>
      </c>
      <c r="M19" s="11">
        <v>20</v>
      </c>
      <c r="N19" s="11">
        <v>5000</v>
      </c>
      <c r="O19" s="62" t="s">
        <v>66</v>
      </c>
      <c r="P19" s="48">
        <f t="shared" si="0"/>
        <v>1.5885623510722795E-2</v>
      </c>
      <c r="Q19" s="14">
        <f t="shared" si="1"/>
        <v>3.971405877680699E-2</v>
      </c>
      <c r="R19" s="15">
        <f t="shared" si="2"/>
        <v>5.5599682287529782E-2</v>
      </c>
      <c r="S19" s="14">
        <f t="shared" si="5"/>
        <v>0.7142857142857143</v>
      </c>
      <c r="T19" s="16">
        <f t="shared" si="3"/>
        <v>14.388571428571428</v>
      </c>
      <c r="U19" s="16">
        <f t="shared" si="4"/>
        <v>1.6541847326238339</v>
      </c>
      <c r="V19" s="16">
        <f t="shared" si="6"/>
        <v>23.801355181410365</v>
      </c>
      <c r="W19" s="17" t="s">
        <v>67</v>
      </c>
      <c r="X19" s="163"/>
    </row>
    <row r="20" spans="2:31" hidden="1">
      <c r="C20" s="61" t="s">
        <v>69</v>
      </c>
      <c r="D20" s="11" t="s">
        <v>70</v>
      </c>
      <c r="E20" s="11" t="s">
        <v>65</v>
      </c>
      <c r="F20" s="11">
        <v>85</v>
      </c>
      <c r="G20" s="11">
        <v>100</v>
      </c>
      <c r="H20" s="10">
        <f t="shared" si="7"/>
        <v>8500</v>
      </c>
      <c r="I20" s="154">
        <f>(3.2+0.6-4.4)/3</f>
        <v>-0.20000000000000004</v>
      </c>
      <c r="J20" s="149">
        <f t="shared" si="8"/>
        <v>0</v>
      </c>
      <c r="K20" s="12">
        <v>2.2000000000000002</v>
      </c>
      <c r="L20" s="12">
        <v>61.9</v>
      </c>
      <c r="M20" s="11">
        <v>0</v>
      </c>
      <c r="N20" s="11">
        <v>1000</v>
      </c>
      <c r="O20" s="62" t="s">
        <v>71</v>
      </c>
      <c r="P20" s="48">
        <f t="shared" si="0"/>
        <v>0</v>
      </c>
      <c r="Q20" s="14">
        <f t="shared" si="1"/>
        <v>0.11764705882352941</v>
      </c>
      <c r="R20" s="15">
        <f t="shared" si="2"/>
        <v>0.11764705882352941</v>
      </c>
      <c r="S20" s="14">
        <f t="shared" si="5"/>
        <v>1</v>
      </c>
      <c r="T20" s="16">
        <f t="shared" si="3"/>
        <v>38.636363636363633</v>
      </c>
      <c r="U20" s="16">
        <f t="shared" si="4"/>
        <v>1.3731825525040389</v>
      </c>
      <c r="V20" s="16">
        <f t="shared" si="6"/>
        <v>53.054780437656042</v>
      </c>
      <c r="W20" s="17" t="s">
        <v>72</v>
      </c>
    </row>
    <row r="21" spans="2:31" hidden="1">
      <c r="C21" s="61" t="s">
        <v>73</v>
      </c>
      <c r="D21" s="11" t="s">
        <v>74</v>
      </c>
      <c r="E21" s="11" t="s">
        <v>65</v>
      </c>
      <c r="F21" s="11">
        <v>639</v>
      </c>
      <c r="G21" s="11">
        <v>100</v>
      </c>
      <c r="H21" s="10">
        <f t="shared" si="7"/>
        <v>63900</v>
      </c>
      <c r="I21" s="154">
        <f>(-88.7-72+44)/3</f>
        <v>-38.9</v>
      </c>
      <c r="J21" s="149">
        <f t="shared" si="8"/>
        <v>-0.17994858611825193</v>
      </c>
      <c r="K21" s="12">
        <v>10.6</v>
      </c>
      <c r="L21" s="12">
        <v>416.4</v>
      </c>
      <c r="M21" s="11">
        <v>7</v>
      </c>
      <c r="N21" s="11">
        <f>440*4</f>
        <v>1760</v>
      </c>
      <c r="O21" s="62" t="s">
        <v>75</v>
      </c>
      <c r="P21" s="48">
        <f t="shared" si="0"/>
        <v>1.0954616588419406E-2</v>
      </c>
      <c r="Q21" s="14">
        <f t="shared" si="1"/>
        <v>2.7543035993740219E-2</v>
      </c>
      <c r="R21" s="15">
        <f t="shared" si="2"/>
        <v>3.8497652582159626E-2</v>
      </c>
      <c r="S21" s="14">
        <f t="shared" si="5"/>
        <v>0.71544715447154472</v>
      </c>
      <c r="T21" s="16">
        <f t="shared" si="3"/>
        <v>60.283018867924532</v>
      </c>
      <c r="U21" s="16">
        <f t="shared" si="4"/>
        <v>1.5345821325648417</v>
      </c>
      <c r="V21" s="16">
        <f t="shared" si="6"/>
        <v>92.509243651786221</v>
      </c>
      <c r="W21" s="17" t="s">
        <v>76</v>
      </c>
    </row>
    <row r="22" spans="2:31" hidden="1">
      <c r="C22" s="61" t="s">
        <v>77</v>
      </c>
      <c r="D22" s="11" t="s">
        <v>78</v>
      </c>
      <c r="E22" s="11" t="s">
        <v>60</v>
      </c>
      <c r="F22" s="11">
        <v>470</v>
      </c>
      <c r="G22" s="11">
        <v>100</v>
      </c>
      <c r="H22" s="10">
        <f t="shared" si="7"/>
        <v>47000</v>
      </c>
      <c r="I22" s="154">
        <f>(72.3+32.3-16.2)/3</f>
        <v>29.466666666666665</v>
      </c>
      <c r="J22" s="149">
        <f t="shared" si="8"/>
        <v>0.50904977375565619</v>
      </c>
      <c r="K22" s="12">
        <v>17.7</v>
      </c>
      <c r="L22" s="12">
        <v>518.79999999999995</v>
      </c>
      <c r="M22" s="11">
        <v>15</v>
      </c>
      <c r="N22" s="11">
        <v>500</v>
      </c>
      <c r="O22" s="62" t="s">
        <v>47</v>
      </c>
      <c r="P22" s="48">
        <f t="shared" si="0"/>
        <v>3.1914893617021274E-2</v>
      </c>
      <c r="Q22" s="14">
        <f t="shared" si="1"/>
        <v>1.0638297872340425E-2</v>
      </c>
      <c r="R22" s="15">
        <f t="shared" si="2"/>
        <v>4.2553191489361701E-2</v>
      </c>
      <c r="S22" s="14">
        <f t="shared" si="5"/>
        <v>0.25</v>
      </c>
      <c r="T22" s="16">
        <f t="shared" si="3"/>
        <v>26.553672316384183</v>
      </c>
      <c r="U22" s="16">
        <f t="shared" si="4"/>
        <v>0.90593677717810339</v>
      </c>
      <c r="V22" s="16">
        <f t="shared" si="6"/>
        <v>24.055948320548509</v>
      </c>
      <c r="W22" s="17" t="s">
        <v>79</v>
      </c>
    </row>
    <row r="23" spans="2:31" s="19" customFormat="1" ht="48.6" hidden="1" customHeight="1">
      <c r="B23" s="72"/>
      <c r="C23" s="63">
        <v>3189</v>
      </c>
      <c r="D23" s="20" t="s">
        <v>80</v>
      </c>
      <c r="E23" s="20" t="s">
        <v>81</v>
      </c>
      <c r="F23" s="20">
        <v>574</v>
      </c>
      <c r="G23" s="20">
        <v>100</v>
      </c>
      <c r="H23" s="21">
        <f t="shared" si="7"/>
        <v>57400</v>
      </c>
      <c r="I23" s="155">
        <f>(44.89+58.5+14.4)/3</f>
        <v>39.263333333333335</v>
      </c>
      <c r="J23" s="150">
        <f t="shared" si="8"/>
        <v>0.15281433058833516</v>
      </c>
      <c r="K23" s="22">
        <v>27.7</v>
      </c>
      <c r="L23" s="22">
        <f>388.1</f>
        <v>388.1</v>
      </c>
      <c r="M23" s="20">
        <v>6</v>
      </c>
      <c r="N23" s="20">
        <v>3000</v>
      </c>
      <c r="O23" s="64" t="s">
        <v>82</v>
      </c>
      <c r="P23" s="49">
        <f t="shared" si="0"/>
        <v>1.0452961672473868E-2</v>
      </c>
      <c r="Q23" s="25">
        <f t="shared" si="1"/>
        <v>5.2264808362369339E-2</v>
      </c>
      <c r="R23" s="26">
        <f t="shared" si="2"/>
        <v>6.2717770034843204E-2</v>
      </c>
      <c r="S23" s="25">
        <f t="shared" si="5"/>
        <v>0.83333333333333337</v>
      </c>
      <c r="T23" s="27">
        <f t="shared" si="3"/>
        <v>20.722021660649819</v>
      </c>
      <c r="U23" s="27">
        <f t="shared" si="4"/>
        <v>1.4790002576655501</v>
      </c>
      <c r="V23" s="27">
        <f t="shared" si="6"/>
        <v>30.647875375452191</v>
      </c>
      <c r="W23" s="28" t="s">
        <v>83</v>
      </c>
      <c r="X23" s="164"/>
      <c r="Y23" s="72"/>
      <c r="Z23" s="72"/>
      <c r="AA23" s="72"/>
      <c r="AB23" s="72"/>
      <c r="AC23" s="72"/>
      <c r="AD23" s="72"/>
      <c r="AE23" s="72"/>
    </row>
    <row r="24" spans="2:31" ht="26.4" hidden="1">
      <c r="C24" s="63" t="s">
        <v>84</v>
      </c>
      <c r="D24" s="20" t="s">
        <v>85</v>
      </c>
      <c r="E24" s="20" t="s">
        <v>46</v>
      </c>
      <c r="F24" s="20">
        <v>1619</v>
      </c>
      <c r="G24" s="20">
        <v>300</v>
      </c>
      <c r="H24" s="21">
        <f t="shared" si="7"/>
        <v>485700</v>
      </c>
      <c r="I24" s="155">
        <f>(366.8+109.6+149.3)/3</f>
        <v>208.56666666666669</v>
      </c>
      <c r="J24" s="150">
        <f t="shared" si="8"/>
        <v>0.26370465079111394</v>
      </c>
      <c r="K24" s="22">
        <v>180.5</v>
      </c>
      <c r="L24" s="22">
        <v>1161</v>
      </c>
      <c r="M24" s="20">
        <v>55</v>
      </c>
      <c r="N24" s="20">
        <f>3000*2</f>
        <v>6000</v>
      </c>
      <c r="O24" s="65" t="s">
        <v>86</v>
      </c>
      <c r="P24" s="49">
        <f t="shared" si="0"/>
        <v>3.3971587399629403E-2</v>
      </c>
      <c r="Q24" s="25">
        <f t="shared" si="1"/>
        <v>1.2353304508956145E-2</v>
      </c>
      <c r="R24" s="26">
        <f t="shared" si="2"/>
        <v>4.6324891908585547E-2</v>
      </c>
      <c r="S24" s="25">
        <f t="shared" si="5"/>
        <v>0.26666666666666666</v>
      </c>
      <c r="T24" s="29">
        <f t="shared" si="3"/>
        <v>8.9695290858725762</v>
      </c>
      <c r="U24" s="29">
        <f t="shared" si="4"/>
        <v>1.3944875107665806</v>
      </c>
      <c r="V24" s="29">
        <f t="shared" si="6"/>
        <v>12.507896287706892</v>
      </c>
      <c r="W24" s="17" t="s">
        <v>87</v>
      </c>
      <c r="X24" s="163"/>
    </row>
    <row r="25" spans="2:31" ht="26.4" hidden="1">
      <c r="C25" s="63" t="s">
        <v>88</v>
      </c>
      <c r="D25" s="20" t="s">
        <v>89</v>
      </c>
      <c r="E25" s="20" t="s">
        <v>46</v>
      </c>
      <c r="F25" s="20">
        <v>1957</v>
      </c>
      <c r="G25" s="20">
        <v>100</v>
      </c>
      <c r="H25" s="21">
        <f t="shared" si="7"/>
        <v>195700</v>
      </c>
      <c r="I25" s="155">
        <f>(266.1+244.2+227)/3</f>
        <v>245.76666666666665</v>
      </c>
      <c r="J25" s="150">
        <f t="shared" si="8"/>
        <v>0.25227180252271802</v>
      </c>
      <c r="K25" s="22">
        <v>227.1</v>
      </c>
      <c r="L25" s="22">
        <v>2699</v>
      </c>
      <c r="M25" s="20">
        <v>62</v>
      </c>
      <c r="N25" s="20">
        <f>2900*2+1430*2</f>
        <v>8660</v>
      </c>
      <c r="O25" s="65" t="s">
        <v>90</v>
      </c>
      <c r="P25" s="49">
        <f t="shared" si="0"/>
        <v>3.1681144609095553E-2</v>
      </c>
      <c r="Q25" s="25">
        <f t="shared" si="1"/>
        <v>4.4251405212059274E-2</v>
      </c>
      <c r="R25" s="26">
        <f t="shared" si="2"/>
        <v>7.5932549821154827E-2</v>
      </c>
      <c r="S25" s="25">
        <f t="shared" si="5"/>
        <v>0.58277254374158816</v>
      </c>
      <c r="T25" s="29">
        <f t="shared" si="3"/>
        <v>8.6173491853808901</v>
      </c>
      <c r="U25" s="29">
        <f t="shared" si="4"/>
        <v>0.72508336420896624</v>
      </c>
      <c r="V25" s="29">
        <f t="shared" si="6"/>
        <v>6.2482965378993702</v>
      </c>
      <c r="W25" s="17" t="s">
        <v>91</v>
      </c>
    </row>
    <row r="26" spans="2:31" hidden="1">
      <c r="C26" s="66" t="s">
        <v>92</v>
      </c>
      <c r="D26" s="17" t="s">
        <v>93</v>
      </c>
      <c r="E26" s="17" t="s">
        <v>46</v>
      </c>
      <c r="F26" s="17">
        <v>808</v>
      </c>
      <c r="G26" s="17">
        <v>100</v>
      </c>
      <c r="H26" s="30">
        <f t="shared" si="7"/>
        <v>80800</v>
      </c>
      <c r="I26" s="156">
        <f>(121.4+175.6+137.8)/3</f>
        <v>144.93333333333334</v>
      </c>
      <c r="J26" s="151">
        <f t="shared" si="8"/>
        <v>0.20699172033118673</v>
      </c>
      <c r="K26" s="31">
        <v>80.599999999999994</v>
      </c>
      <c r="L26" s="31">
        <v>934.5</v>
      </c>
      <c r="M26" s="17">
        <v>30</v>
      </c>
      <c r="N26" s="17">
        <v>1000</v>
      </c>
      <c r="O26" s="67" t="s">
        <v>47</v>
      </c>
      <c r="P26" s="50">
        <f t="shared" si="0"/>
        <v>3.7128712871287127E-2</v>
      </c>
      <c r="Q26" s="33">
        <f t="shared" si="1"/>
        <v>1.2376237623762377E-2</v>
      </c>
      <c r="R26" s="34">
        <f t="shared" si="2"/>
        <v>4.9504950495049507E-2</v>
      </c>
      <c r="S26" s="33">
        <f t="shared" si="5"/>
        <v>0.25</v>
      </c>
      <c r="T26" s="16">
        <f t="shared" si="3"/>
        <v>10.024813895781639</v>
      </c>
      <c r="U26" s="16">
        <f t="shared" si="4"/>
        <v>0.86463349384697696</v>
      </c>
      <c r="V26" s="16">
        <f t="shared" si="6"/>
        <v>8.6677898638754023</v>
      </c>
      <c r="W26" s="17" t="s">
        <v>94</v>
      </c>
    </row>
    <row r="27" spans="2:31" hidden="1">
      <c r="C27" s="66" t="s">
        <v>95</v>
      </c>
      <c r="D27" s="17" t="s">
        <v>96</v>
      </c>
      <c r="E27" s="17" t="s">
        <v>97</v>
      </c>
      <c r="F27" s="17">
        <v>2082</v>
      </c>
      <c r="G27" s="17">
        <v>100</v>
      </c>
      <c r="H27" s="30">
        <f t="shared" si="7"/>
        <v>208200</v>
      </c>
      <c r="I27" s="156">
        <f>(115.7+86.7+136.7)/3</f>
        <v>113.03333333333335</v>
      </c>
      <c r="J27" s="151">
        <f t="shared" si="8"/>
        <v>8.846947803007961E-2</v>
      </c>
      <c r="K27" s="31">
        <v>115.7</v>
      </c>
      <c r="L27" s="31">
        <v>707.7</v>
      </c>
      <c r="M27" s="17">
        <v>10</v>
      </c>
      <c r="N27" s="17">
        <v>11000</v>
      </c>
      <c r="O27" s="67" t="s">
        <v>98</v>
      </c>
      <c r="P27" s="50">
        <f t="shared" si="0"/>
        <v>4.8030739673390974E-3</v>
      </c>
      <c r="Q27" s="33">
        <f t="shared" si="1"/>
        <v>5.2833813640730067E-2</v>
      </c>
      <c r="R27" s="34">
        <f t="shared" si="2"/>
        <v>5.7636887608069162E-2</v>
      </c>
      <c r="S27" s="33">
        <f t="shared" si="5"/>
        <v>0.91666666666666674</v>
      </c>
      <c r="T27" s="16">
        <f t="shared" si="3"/>
        <v>17.994814174589454</v>
      </c>
      <c r="U27" s="16">
        <f t="shared" si="4"/>
        <v>2.9419245442984314</v>
      </c>
      <c r="V27" s="16">
        <f t="shared" si="6"/>
        <v>52.939385490314031</v>
      </c>
      <c r="W27" s="17" t="s">
        <v>99</v>
      </c>
    </row>
    <row r="28" spans="2:31" hidden="1">
      <c r="C28" s="66" t="s">
        <v>100</v>
      </c>
      <c r="D28" s="17" t="s">
        <v>101</v>
      </c>
      <c r="E28" s="17" t="s">
        <v>102</v>
      </c>
      <c r="F28" s="17">
        <v>1023</v>
      </c>
      <c r="G28" s="17">
        <v>100</v>
      </c>
      <c r="H28" s="30">
        <f t="shared" si="7"/>
        <v>102300</v>
      </c>
      <c r="I28" s="156">
        <f>(76.9+24.7+36.1)/3</f>
        <v>45.900000000000006</v>
      </c>
      <c r="J28" s="151">
        <f t="shared" si="8"/>
        <v>0.65359477124182996</v>
      </c>
      <c r="K28" s="31">
        <v>31.6</v>
      </c>
      <c r="L28" s="31">
        <v>542.20000000000005</v>
      </c>
      <c r="M28" s="17">
        <v>30</v>
      </c>
      <c r="N28" s="17">
        <v>3000</v>
      </c>
      <c r="O28" s="67" t="s">
        <v>47</v>
      </c>
      <c r="P28" s="50">
        <f t="shared" si="0"/>
        <v>2.932551319648094E-2</v>
      </c>
      <c r="Q28" s="33">
        <f t="shared" si="1"/>
        <v>2.932551319648094E-2</v>
      </c>
      <c r="R28" s="34">
        <f t="shared" si="2"/>
        <v>5.865102639296188E-2</v>
      </c>
      <c r="S28" s="33">
        <f t="shared" si="5"/>
        <v>0.5</v>
      </c>
      <c r="T28" s="16">
        <f t="shared" si="3"/>
        <v>32.373417721518983</v>
      </c>
      <c r="U28" s="16">
        <f t="shared" si="4"/>
        <v>1.8867576540022131</v>
      </c>
      <c r="V28" s="16">
        <f t="shared" si="6"/>
        <v>61.080793672286823</v>
      </c>
      <c r="W28" s="17" t="s">
        <v>103</v>
      </c>
    </row>
    <row r="29" spans="2:31" hidden="1">
      <c r="C29" s="66" t="s">
        <v>104</v>
      </c>
      <c r="D29" s="17" t="s">
        <v>105</v>
      </c>
      <c r="E29" s="17" t="s">
        <v>102</v>
      </c>
      <c r="F29" s="17">
        <v>721</v>
      </c>
      <c r="G29" s="17">
        <v>100</v>
      </c>
      <c r="H29" s="30">
        <f t="shared" si="7"/>
        <v>72100</v>
      </c>
      <c r="I29" s="156">
        <f>(26.5+32.1+35.6)/3</f>
        <v>31.400000000000002</v>
      </c>
      <c r="J29" s="151">
        <f t="shared" si="8"/>
        <v>0.8280254777070063</v>
      </c>
      <c r="K29" s="31">
        <v>35.9</v>
      </c>
      <c r="L29" s="31">
        <v>161.30000000000001</v>
      </c>
      <c r="M29" s="17">
        <v>26</v>
      </c>
      <c r="N29" s="17">
        <v>1500</v>
      </c>
      <c r="O29" s="67" t="s">
        <v>106</v>
      </c>
      <c r="P29" s="50">
        <f t="shared" si="0"/>
        <v>3.6061026352288486E-2</v>
      </c>
      <c r="Q29" s="33">
        <f t="shared" si="1"/>
        <v>2.0804438280166437E-2</v>
      </c>
      <c r="R29" s="34">
        <f t="shared" si="2"/>
        <v>5.6865464632454926E-2</v>
      </c>
      <c r="S29" s="33">
        <f t="shared" si="5"/>
        <v>0.36585365853658536</v>
      </c>
      <c r="T29" s="16">
        <f t="shared" si="3"/>
        <v>20.083565459610028</v>
      </c>
      <c r="U29" s="16">
        <f t="shared" si="4"/>
        <v>4.4699318040917539</v>
      </c>
      <c r="V29" s="16">
        <f t="shared" si="6"/>
        <v>89.772167987469487</v>
      </c>
      <c r="W29" s="17" t="s">
        <v>107</v>
      </c>
    </row>
    <row r="30" spans="2:31" hidden="1">
      <c r="C30" s="66" t="s">
        <v>108</v>
      </c>
      <c r="D30" s="17" t="s">
        <v>109</v>
      </c>
      <c r="E30" s="17" t="s">
        <v>102</v>
      </c>
      <c r="F30" s="17">
        <v>398</v>
      </c>
      <c r="G30" s="17">
        <v>100</v>
      </c>
      <c r="H30" s="30">
        <f t="shared" si="7"/>
        <v>39800</v>
      </c>
      <c r="I30" s="156">
        <f>(12.6+13.4+14.7)/3</f>
        <v>13.566666666666668</v>
      </c>
      <c r="J30" s="151">
        <f t="shared" si="8"/>
        <v>1.1056511056511056</v>
      </c>
      <c r="K30" s="31">
        <v>15.7</v>
      </c>
      <c r="L30" s="31">
        <v>112</v>
      </c>
      <c r="M30" s="17">
        <v>15</v>
      </c>
      <c r="N30" s="17">
        <f>4000*6</f>
        <v>24000</v>
      </c>
      <c r="O30" s="67" t="s">
        <v>110</v>
      </c>
      <c r="P30" s="50">
        <f t="shared" si="0"/>
        <v>3.7688442211055273E-2</v>
      </c>
      <c r="Q30" s="33">
        <f t="shared" si="1"/>
        <v>0.60301507537688437</v>
      </c>
      <c r="R30" s="34">
        <f t="shared" si="2"/>
        <v>0.64070351758793975</v>
      </c>
      <c r="S30" s="33">
        <f t="shared" si="5"/>
        <v>0.94117647058823517</v>
      </c>
      <c r="T30" s="16">
        <f t="shared" si="3"/>
        <v>25.35031847133758</v>
      </c>
      <c r="U30" s="16">
        <f t="shared" si="4"/>
        <v>3.5535714285714284</v>
      </c>
      <c r="V30" s="16">
        <f t="shared" si="6"/>
        <v>90.084167424931749</v>
      </c>
      <c r="W30" s="17" t="s">
        <v>111</v>
      </c>
    </row>
    <row r="31" spans="2:31" hidden="1">
      <c r="C31" s="66" t="s">
        <v>112</v>
      </c>
      <c r="D31" s="17"/>
      <c r="E31" s="17"/>
      <c r="F31" s="17"/>
      <c r="G31" s="17"/>
      <c r="H31" s="30">
        <f t="shared" si="7"/>
        <v>0</v>
      </c>
      <c r="I31" s="156"/>
      <c r="J31" s="151" t="e">
        <f t="shared" si="8"/>
        <v>#DIV/0!</v>
      </c>
      <c r="K31" s="31"/>
      <c r="L31" s="31"/>
      <c r="M31" s="17"/>
      <c r="N31" s="17"/>
      <c r="O31" s="67"/>
      <c r="P31" s="50" t="e">
        <f t="shared" si="0"/>
        <v>#DIV/0!</v>
      </c>
      <c r="Q31" s="33" t="e">
        <f t="shared" si="1"/>
        <v>#DIV/0!</v>
      </c>
      <c r="R31" s="34" t="e">
        <f t="shared" si="2"/>
        <v>#DIV/0!</v>
      </c>
      <c r="S31" s="33" t="e">
        <f t="shared" si="5"/>
        <v>#DIV/0!</v>
      </c>
      <c r="T31" s="16" t="e">
        <f t="shared" si="3"/>
        <v>#DIV/0!</v>
      </c>
      <c r="U31" s="16" t="e">
        <f t="shared" si="4"/>
        <v>#DIV/0!</v>
      </c>
      <c r="V31" s="16" t="e">
        <f t="shared" si="6"/>
        <v>#DIV/0!</v>
      </c>
      <c r="W31" s="17"/>
    </row>
    <row r="32" spans="2:31" hidden="1">
      <c r="C32" s="66" t="s">
        <v>113</v>
      </c>
      <c r="D32" s="17"/>
      <c r="E32" s="17"/>
      <c r="F32" s="17"/>
      <c r="G32" s="17"/>
      <c r="H32" s="30">
        <f t="shared" si="7"/>
        <v>0</v>
      </c>
      <c r="I32" s="156"/>
      <c r="J32" s="151" t="e">
        <f t="shared" si="8"/>
        <v>#DIV/0!</v>
      </c>
      <c r="K32" s="31"/>
      <c r="L32" s="31"/>
      <c r="M32" s="17"/>
      <c r="N32" s="17"/>
      <c r="O32" s="67"/>
      <c r="P32" s="50" t="e">
        <f t="shared" si="0"/>
        <v>#DIV/0!</v>
      </c>
      <c r="Q32" s="33" t="e">
        <f t="shared" si="1"/>
        <v>#DIV/0!</v>
      </c>
      <c r="R32" s="34" t="e">
        <f t="shared" si="2"/>
        <v>#DIV/0!</v>
      </c>
      <c r="S32" s="33" t="e">
        <f t="shared" si="5"/>
        <v>#DIV/0!</v>
      </c>
      <c r="T32" s="16" t="e">
        <f t="shared" si="3"/>
        <v>#DIV/0!</v>
      </c>
      <c r="U32" s="16" t="e">
        <f t="shared" si="4"/>
        <v>#DIV/0!</v>
      </c>
      <c r="V32" s="16" t="e">
        <f t="shared" si="6"/>
        <v>#DIV/0!</v>
      </c>
      <c r="W32" s="17"/>
    </row>
    <row r="33" spans="3:24" hidden="1">
      <c r="C33" s="66" t="s">
        <v>114</v>
      </c>
      <c r="D33" s="17" t="s">
        <v>115</v>
      </c>
      <c r="E33" s="17" t="s">
        <v>116</v>
      </c>
      <c r="F33" s="17">
        <v>690</v>
      </c>
      <c r="G33" s="17">
        <v>100</v>
      </c>
      <c r="H33" s="30">
        <f t="shared" si="7"/>
        <v>69000</v>
      </c>
      <c r="I33" s="156">
        <f>(37.7-33.5+53.9)/3</f>
        <v>19.366666666666667</v>
      </c>
      <c r="J33" s="151">
        <f t="shared" si="8"/>
        <v>0.61962134251290879</v>
      </c>
      <c r="K33" s="31">
        <v>46.3</v>
      </c>
      <c r="L33" s="31">
        <v>871.4</v>
      </c>
      <c r="M33" s="17">
        <v>12</v>
      </c>
      <c r="N33" s="17">
        <v>2000</v>
      </c>
      <c r="O33" s="67" t="s">
        <v>117</v>
      </c>
      <c r="P33" s="50">
        <f t="shared" si="0"/>
        <v>1.7391304347826087E-2</v>
      </c>
      <c r="Q33" s="33">
        <f t="shared" si="1"/>
        <v>2.8985507246376812E-2</v>
      </c>
      <c r="R33" s="34">
        <f t="shared" si="2"/>
        <v>4.6376811594202899E-2</v>
      </c>
      <c r="S33" s="33">
        <f t="shared" si="5"/>
        <v>0.625</v>
      </c>
      <c r="T33" s="16">
        <f t="shared" si="3"/>
        <v>14.902807775377971</v>
      </c>
      <c r="U33" s="16">
        <f t="shared" si="4"/>
        <v>0.79182924030296076</v>
      </c>
      <c r="V33" s="16">
        <f t="shared" si="6"/>
        <v>11.800478959158596</v>
      </c>
      <c r="W33" s="17" t="s">
        <v>118</v>
      </c>
    </row>
    <row r="34" spans="3:24" hidden="1">
      <c r="C34" s="66" t="s">
        <v>119</v>
      </c>
      <c r="D34" s="17"/>
      <c r="E34" s="17"/>
      <c r="F34" s="17"/>
      <c r="G34" s="17"/>
      <c r="H34" s="30">
        <f t="shared" si="7"/>
        <v>0</v>
      </c>
      <c r="I34" s="156"/>
      <c r="J34" s="151" t="e">
        <f t="shared" si="8"/>
        <v>#DIV/0!</v>
      </c>
      <c r="K34" s="31"/>
      <c r="L34" s="31"/>
      <c r="M34" s="17"/>
      <c r="N34" s="17"/>
      <c r="O34" s="67"/>
      <c r="P34" s="50" t="e">
        <f t="shared" si="0"/>
        <v>#DIV/0!</v>
      </c>
      <c r="Q34" s="33" t="e">
        <f t="shared" si="1"/>
        <v>#DIV/0!</v>
      </c>
      <c r="R34" s="34" t="e">
        <f t="shared" si="2"/>
        <v>#DIV/0!</v>
      </c>
      <c r="S34" s="33" t="e">
        <f t="shared" si="5"/>
        <v>#DIV/0!</v>
      </c>
      <c r="T34" s="16" t="e">
        <f t="shared" si="3"/>
        <v>#DIV/0!</v>
      </c>
      <c r="U34" s="16" t="e">
        <f t="shared" si="4"/>
        <v>#DIV/0!</v>
      </c>
      <c r="V34" s="16" t="e">
        <f t="shared" si="6"/>
        <v>#DIV/0!</v>
      </c>
      <c r="W34" s="17"/>
    </row>
    <row r="35" spans="3:24" hidden="1">
      <c r="C35" s="66" t="s">
        <v>120</v>
      </c>
      <c r="D35" s="17" t="s">
        <v>121</v>
      </c>
      <c r="E35" s="17" t="s">
        <v>122</v>
      </c>
      <c r="F35" s="17">
        <v>1412</v>
      </c>
      <c r="G35" s="17">
        <v>100</v>
      </c>
      <c r="H35" s="30">
        <f t="shared" si="7"/>
        <v>141200</v>
      </c>
      <c r="I35" s="156">
        <f>(165.5+167.8+148.9)/3</f>
        <v>160.73333333333335</v>
      </c>
      <c r="J35" s="151">
        <f t="shared" si="8"/>
        <v>0.31107424305267523</v>
      </c>
      <c r="K35" s="31">
        <v>104.2</v>
      </c>
      <c r="L35" s="31">
        <v>1638</v>
      </c>
      <c r="M35" s="17">
        <v>50</v>
      </c>
      <c r="N35" s="17">
        <v>3000</v>
      </c>
      <c r="O35" s="67" t="s">
        <v>123</v>
      </c>
      <c r="P35" s="50">
        <f t="shared" si="0"/>
        <v>3.5410764872521247E-2</v>
      </c>
      <c r="Q35" s="33">
        <f t="shared" si="1"/>
        <v>2.1246458923512748E-2</v>
      </c>
      <c r="R35" s="34">
        <f t="shared" si="2"/>
        <v>5.6657223796033995E-2</v>
      </c>
      <c r="S35" s="33">
        <f t="shared" si="5"/>
        <v>0.375</v>
      </c>
      <c r="T35" s="16">
        <f t="shared" si="3"/>
        <v>13.550863723608446</v>
      </c>
      <c r="U35" s="16">
        <f t="shared" si="4"/>
        <v>0.86202686202686207</v>
      </c>
      <c r="V35" s="16">
        <f t="shared" si="6"/>
        <v>11.681208533415829</v>
      </c>
      <c r="W35" s="17" t="s">
        <v>124</v>
      </c>
    </row>
    <row r="36" spans="3:24" hidden="1">
      <c r="C36" s="66" t="s">
        <v>125</v>
      </c>
      <c r="D36" s="17" t="s">
        <v>126</v>
      </c>
      <c r="E36" s="17" t="s">
        <v>127</v>
      </c>
      <c r="F36" s="17">
        <v>1125</v>
      </c>
      <c r="G36" s="17">
        <v>100</v>
      </c>
      <c r="H36" s="30">
        <f t="shared" si="7"/>
        <v>112500</v>
      </c>
      <c r="I36" s="156">
        <f>(-37.2+55.4+347.2)/3</f>
        <v>121.8</v>
      </c>
      <c r="J36" s="151">
        <f t="shared" si="8"/>
        <v>0.39408866995073893</v>
      </c>
      <c r="K36" s="31">
        <v>169.4</v>
      </c>
      <c r="L36" s="31">
        <v>940.7</v>
      </c>
      <c r="M36" s="17">
        <v>48</v>
      </c>
      <c r="N36" s="17">
        <v>3000</v>
      </c>
      <c r="O36" s="67" t="s">
        <v>128</v>
      </c>
      <c r="P36" s="50">
        <f t="shared" si="0"/>
        <v>4.2666666666666665E-2</v>
      </c>
      <c r="Q36" s="33">
        <f t="shared" si="1"/>
        <v>2.6666666666666668E-2</v>
      </c>
      <c r="R36" s="34">
        <f t="shared" si="2"/>
        <v>6.933333333333333E-2</v>
      </c>
      <c r="S36" s="33">
        <f t="shared" si="5"/>
        <v>0.38461538461538464</v>
      </c>
      <c r="T36" s="16">
        <f t="shared" si="3"/>
        <v>6.6410861865407318</v>
      </c>
      <c r="U36" s="16">
        <f t="shared" si="4"/>
        <v>1.195917933453811</v>
      </c>
      <c r="V36" s="18">
        <f t="shared" si="6"/>
        <v>7.9421940680964429</v>
      </c>
      <c r="W36" s="17" t="s">
        <v>129</v>
      </c>
    </row>
    <row r="37" spans="3:24" hidden="1">
      <c r="C37" s="66" t="s">
        <v>130</v>
      </c>
      <c r="D37" s="17" t="s">
        <v>131</v>
      </c>
      <c r="E37" s="17" t="s">
        <v>132</v>
      </c>
      <c r="F37" s="17">
        <v>1595</v>
      </c>
      <c r="G37" s="17">
        <v>100</v>
      </c>
      <c r="H37" s="30">
        <f t="shared" si="7"/>
        <v>159500</v>
      </c>
      <c r="I37" s="156">
        <f>(315.9+333.6+268.8)/3</f>
        <v>306.09999999999997</v>
      </c>
      <c r="J37" s="151">
        <f t="shared" si="8"/>
        <v>0.1796798431885005</v>
      </c>
      <c r="K37" s="31">
        <v>122.3</v>
      </c>
      <c r="L37" s="31">
        <v>3188</v>
      </c>
      <c r="M37" s="17">
        <v>55</v>
      </c>
      <c r="N37" s="17">
        <v>3000</v>
      </c>
      <c r="O37" s="67" t="s">
        <v>128</v>
      </c>
      <c r="P37" s="50">
        <f t="shared" si="0"/>
        <v>3.4482758620689655E-2</v>
      </c>
      <c r="Q37" s="33">
        <f t="shared" si="1"/>
        <v>1.8808777429467086E-2</v>
      </c>
      <c r="R37" s="34">
        <f t="shared" si="2"/>
        <v>5.329153605015674E-2</v>
      </c>
      <c r="S37" s="33">
        <f t="shared" si="5"/>
        <v>0.35294117647058826</v>
      </c>
      <c r="T37" s="16">
        <f t="shared" si="3"/>
        <v>13.04170073589534</v>
      </c>
      <c r="U37" s="16">
        <f t="shared" si="4"/>
        <v>0.50031367628607282</v>
      </c>
      <c r="V37" s="18">
        <f t="shared" si="6"/>
        <v>6.5249412401985785</v>
      </c>
      <c r="W37" s="17" t="s">
        <v>133</v>
      </c>
    </row>
    <row r="38" spans="3:24" hidden="1">
      <c r="C38" s="66" t="s">
        <v>135</v>
      </c>
      <c r="D38" s="17" t="s">
        <v>136</v>
      </c>
      <c r="E38" s="17" t="s">
        <v>137</v>
      </c>
      <c r="F38" s="17">
        <v>891</v>
      </c>
      <c r="G38" s="17">
        <v>100</v>
      </c>
      <c r="H38" s="30">
        <f t="shared" si="7"/>
        <v>89100</v>
      </c>
      <c r="I38" s="156">
        <f>(114.7+149.9+114.2)/3</f>
        <v>126.26666666666667</v>
      </c>
      <c r="J38" s="151">
        <f t="shared" si="8"/>
        <v>0.1583949313621964</v>
      </c>
      <c r="K38" s="31">
        <v>106.8</v>
      </c>
      <c r="L38" s="31">
        <v>1407</v>
      </c>
      <c r="M38" s="17">
        <v>20</v>
      </c>
      <c r="N38" s="17">
        <v>2000</v>
      </c>
      <c r="O38" s="67" t="s">
        <v>47</v>
      </c>
      <c r="P38" s="50">
        <f t="shared" si="0"/>
        <v>2.2446689113355778E-2</v>
      </c>
      <c r="Q38" s="33">
        <f t="shared" si="1"/>
        <v>2.2446689113355778E-2</v>
      </c>
      <c r="R38" s="34">
        <f t="shared" si="2"/>
        <v>4.4893378226711557E-2</v>
      </c>
      <c r="S38" s="33">
        <f t="shared" si="5"/>
        <v>0.5</v>
      </c>
      <c r="T38" s="16">
        <f t="shared" si="3"/>
        <v>8.3426966292134832</v>
      </c>
      <c r="U38" s="16">
        <f t="shared" si="4"/>
        <v>0.63326226012793174</v>
      </c>
      <c r="V38" s="18">
        <f t="shared" si="6"/>
        <v>5.2831149229774077</v>
      </c>
      <c r="W38" s="17" t="s">
        <v>138</v>
      </c>
    </row>
    <row r="39" spans="3:24" hidden="1">
      <c r="C39" s="66" t="s">
        <v>139</v>
      </c>
      <c r="D39" s="17" t="s">
        <v>140</v>
      </c>
      <c r="E39" s="17" t="s">
        <v>102</v>
      </c>
      <c r="F39" s="17">
        <v>2634</v>
      </c>
      <c r="G39" s="17">
        <v>100</v>
      </c>
      <c r="H39" s="30">
        <f t="shared" si="7"/>
        <v>263400</v>
      </c>
      <c r="I39" s="156">
        <f>(242.8+269.5+238.5)/3</f>
        <v>250.26666666666665</v>
      </c>
      <c r="J39" s="151">
        <f t="shared" si="8"/>
        <v>0.40756526371870005</v>
      </c>
      <c r="K39" s="31">
        <v>216.1</v>
      </c>
      <c r="L39" s="31">
        <v>1523</v>
      </c>
      <c r="M39" s="17">
        <v>102</v>
      </c>
      <c r="N39" s="17">
        <f>1980/12*30</f>
        <v>4950</v>
      </c>
      <c r="O39" s="67" t="s">
        <v>141</v>
      </c>
      <c r="P39" s="50">
        <f t="shared" si="0"/>
        <v>3.8724373576309798E-2</v>
      </c>
      <c r="Q39" s="33">
        <f t="shared" si="1"/>
        <v>1.879271070615034E-2</v>
      </c>
      <c r="R39" s="34">
        <f t="shared" si="2"/>
        <v>5.7517084282460135E-2</v>
      </c>
      <c r="S39" s="33">
        <f t="shared" si="5"/>
        <v>0.32673267326732675</v>
      </c>
      <c r="T39" s="16">
        <f t="shared" si="3"/>
        <v>12.188801480795927</v>
      </c>
      <c r="U39" s="16">
        <f t="shared" si="4"/>
        <v>1.7294812869336835</v>
      </c>
      <c r="V39" s="16">
        <f t="shared" si="6"/>
        <v>21.080304071186127</v>
      </c>
      <c r="W39" s="17" t="s">
        <v>142</v>
      </c>
      <c r="X39" s="163"/>
    </row>
    <row r="40" spans="3:24" hidden="1">
      <c r="C40" s="66" t="s">
        <v>143</v>
      </c>
      <c r="D40" s="17" t="s">
        <v>144</v>
      </c>
      <c r="E40" s="17" t="s">
        <v>145</v>
      </c>
      <c r="F40" s="17">
        <v>1267</v>
      </c>
      <c r="G40" s="17">
        <v>100</v>
      </c>
      <c r="H40" s="30">
        <f t="shared" si="7"/>
        <v>126700</v>
      </c>
      <c r="I40" s="156">
        <f>(162.6+100.3+2)/3</f>
        <v>88.3</v>
      </c>
      <c r="J40" s="151">
        <f t="shared" si="8"/>
        <v>0.39637599093997739</v>
      </c>
      <c r="K40" s="31">
        <v>35.9</v>
      </c>
      <c r="L40" s="31">
        <v>2918</v>
      </c>
      <c r="M40" s="17">
        <v>35</v>
      </c>
      <c r="N40" s="17">
        <v>3000</v>
      </c>
      <c r="O40" s="67" t="s">
        <v>128</v>
      </c>
      <c r="P40" s="50">
        <f t="shared" si="0"/>
        <v>2.7624309392265192E-2</v>
      </c>
      <c r="Q40" s="33">
        <f t="shared" si="1"/>
        <v>2.3677979479084451E-2</v>
      </c>
      <c r="R40" s="34">
        <f t="shared" si="2"/>
        <v>5.1302288871349647E-2</v>
      </c>
      <c r="S40" s="33">
        <f t="shared" si="5"/>
        <v>0.46153846153846151</v>
      </c>
      <c r="T40" s="16">
        <f t="shared" si="3"/>
        <v>35.292479108635099</v>
      </c>
      <c r="U40" s="16">
        <f t="shared" si="4"/>
        <v>0.43420150788211104</v>
      </c>
      <c r="V40" s="16">
        <f t="shared" si="6"/>
        <v>15.324047645867262</v>
      </c>
      <c r="W40" s="17" t="s">
        <v>146</v>
      </c>
    </row>
    <row r="41" spans="3:24" hidden="1">
      <c r="C41" s="66" t="s">
        <v>147</v>
      </c>
      <c r="D41" s="17" t="s">
        <v>148</v>
      </c>
      <c r="E41" s="17" t="s">
        <v>145</v>
      </c>
      <c r="F41" s="17">
        <v>1675</v>
      </c>
      <c r="G41" s="17">
        <v>100</v>
      </c>
      <c r="H41" s="30">
        <f t="shared" si="7"/>
        <v>167500</v>
      </c>
      <c r="I41" s="156">
        <f>(46.4+114.4+119.5)/3</f>
        <v>93.433333333333337</v>
      </c>
      <c r="J41" s="151">
        <f t="shared" si="8"/>
        <v>0.53514092044238315</v>
      </c>
      <c r="K41" s="31">
        <v>90.4</v>
      </c>
      <c r="L41" s="31">
        <v>1892</v>
      </c>
      <c r="M41" s="17">
        <v>50</v>
      </c>
      <c r="N41" s="17">
        <v>5000</v>
      </c>
      <c r="O41" s="67" t="s">
        <v>149</v>
      </c>
      <c r="P41" s="50">
        <f t="shared" si="0"/>
        <v>2.9850746268656716E-2</v>
      </c>
      <c r="Q41" s="33">
        <f t="shared" si="1"/>
        <v>2.9850746268656716E-2</v>
      </c>
      <c r="R41" s="34">
        <f t="shared" si="2"/>
        <v>5.9701492537313432E-2</v>
      </c>
      <c r="S41" s="33">
        <f t="shared" si="5"/>
        <v>0.5</v>
      </c>
      <c r="T41" s="16">
        <f t="shared" si="3"/>
        <v>18.528761061946902</v>
      </c>
      <c r="U41" s="16">
        <f t="shared" si="4"/>
        <v>0.88530655391120505</v>
      </c>
      <c r="V41" s="16">
        <f t="shared" si="6"/>
        <v>16.403633603996333</v>
      </c>
      <c r="W41" s="17" t="s">
        <v>150</v>
      </c>
    </row>
    <row r="42" spans="3:24" hidden="1">
      <c r="C42" s="66" t="s">
        <v>151</v>
      </c>
      <c r="D42" s="17" t="s">
        <v>152</v>
      </c>
      <c r="E42" s="17" t="s">
        <v>145</v>
      </c>
      <c r="F42" s="17">
        <v>794</v>
      </c>
      <c r="G42" s="17">
        <v>100</v>
      </c>
      <c r="H42" s="30">
        <f t="shared" si="7"/>
        <v>79400</v>
      </c>
      <c r="I42" s="156">
        <f>(85.7+50.2+61.7)/3</f>
        <v>65.866666666666674</v>
      </c>
      <c r="J42" s="151">
        <f t="shared" si="8"/>
        <v>0.30364372469635625</v>
      </c>
      <c r="K42" s="31">
        <v>32.799999999999997</v>
      </c>
      <c r="L42" s="31">
        <v>764.9</v>
      </c>
      <c r="M42" s="17">
        <v>20</v>
      </c>
      <c r="N42" s="17">
        <v>2000</v>
      </c>
      <c r="O42" s="67" t="s">
        <v>47</v>
      </c>
      <c r="P42" s="50">
        <f t="shared" si="0"/>
        <v>2.5188916876574308E-2</v>
      </c>
      <c r="Q42" s="33">
        <f t="shared" si="1"/>
        <v>2.5188916876574308E-2</v>
      </c>
      <c r="R42" s="34">
        <f t="shared" si="2"/>
        <v>5.0377833753148617E-2</v>
      </c>
      <c r="S42" s="33">
        <f t="shared" si="5"/>
        <v>0.5</v>
      </c>
      <c r="T42" s="16">
        <f t="shared" si="3"/>
        <v>24.207317073170735</v>
      </c>
      <c r="U42" s="16">
        <f t="shared" si="4"/>
        <v>1.0380441887828475</v>
      </c>
      <c r="V42" s="16">
        <f t="shared" si="6"/>
        <v>25.128264813828689</v>
      </c>
      <c r="W42" s="17" t="s">
        <v>153</v>
      </c>
    </row>
    <row r="43" spans="3:24" hidden="1">
      <c r="C43" s="66" t="s">
        <v>154</v>
      </c>
      <c r="D43" s="17" t="s">
        <v>155</v>
      </c>
      <c r="E43" s="17" t="s">
        <v>156</v>
      </c>
      <c r="F43" s="17">
        <v>1179</v>
      </c>
      <c r="G43" s="17">
        <v>1</v>
      </c>
      <c r="H43" s="30">
        <f t="shared" si="7"/>
        <v>1179</v>
      </c>
      <c r="I43" s="156">
        <f>(95.7+64+129.5)/3</f>
        <v>96.399999999999991</v>
      </c>
      <c r="J43" s="151">
        <f t="shared" si="8"/>
        <v>0.51867219917012453</v>
      </c>
      <c r="K43" s="31">
        <v>49.6</v>
      </c>
      <c r="L43" s="31">
        <v>2884</v>
      </c>
      <c r="M43" s="17">
        <v>50</v>
      </c>
      <c r="N43" s="17">
        <v>1000</v>
      </c>
      <c r="O43" s="67" t="s">
        <v>157</v>
      </c>
      <c r="P43" s="50">
        <f t="shared" si="0"/>
        <v>4.2408821034775231E-2</v>
      </c>
      <c r="Q43" s="33">
        <f t="shared" si="1"/>
        <v>0.8481764206955047</v>
      </c>
      <c r="R43" s="34">
        <f t="shared" si="2"/>
        <v>0.89058524173027986</v>
      </c>
      <c r="S43" s="33">
        <f t="shared" si="5"/>
        <v>0.95238095238095244</v>
      </c>
      <c r="T43" s="16">
        <f t="shared" si="3"/>
        <v>23.77016129032258</v>
      </c>
      <c r="U43" s="16">
        <f t="shared" si="4"/>
        <v>0.40880721220527044</v>
      </c>
      <c r="V43" s="16">
        <f t="shared" si="6"/>
        <v>9.7174133707664083</v>
      </c>
      <c r="W43" s="17" t="s">
        <v>158</v>
      </c>
    </row>
    <row r="44" spans="3:24" hidden="1">
      <c r="C44" s="66" t="s">
        <v>160</v>
      </c>
      <c r="D44" s="17" t="s">
        <v>161</v>
      </c>
      <c r="E44" s="17" t="s">
        <v>162</v>
      </c>
      <c r="F44" s="17">
        <v>2266</v>
      </c>
      <c r="G44" s="17"/>
      <c r="H44" s="30">
        <f t="shared" si="7"/>
        <v>0</v>
      </c>
      <c r="I44" s="156">
        <f>(206.7+153.2+229.7)/3</f>
        <v>196.5333333333333</v>
      </c>
      <c r="J44" s="151">
        <f t="shared" si="8"/>
        <v>0.25440976933514253</v>
      </c>
      <c r="K44" s="31">
        <v>171.4</v>
      </c>
      <c r="L44" s="31">
        <v>1957</v>
      </c>
      <c r="M44" s="17">
        <v>50</v>
      </c>
      <c r="N44" s="17">
        <v>3000</v>
      </c>
      <c r="O44" s="67" t="s">
        <v>128</v>
      </c>
      <c r="P44" s="50">
        <f t="shared" si="0"/>
        <v>2.2065313327449251E-2</v>
      </c>
      <c r="Q44" s="33" t="e">
        <f t="shared" si="1"/>
        <v>#DIV/0!</v>
      </c>
      <c r="R44" s="34" t="e">
        <f t="shared" si="2"/>
        <v>#DIV/0!</v>
      </c>
      <c r="S44" s="33" t="e">
        <f t="shared" si="5"/>
        <v>#DIV/0!</v>
      </c>
      <c r="T44" s="16">
        <f t="shared" si="3"/>
        <v>13.220536756126021</v>
      </c>
      <c r="U44" s="16">
        <f t="shared" si="4"/>
        <v>1.1578947368421053</v>
      </c>
      <c r="V44" s="16">
        <f t="shared" si="6"/>
        <v>15.30798992814592</v>
      </c>
      <c r="W44" s="17"/>
    </row>
    <row r="45" spans="3:24" hidden="1">
      <c r="C45" s="66" t="s">
        <v>163</v>
      </c>
      <c r="D45" s="17"/>
      <c r="E45" s="17"/>
      <c r="F45" s="17"/>
      <c r="G45" s="17"/>
      <c r="H45" s="30">
        <f t="shared" si="7"/>
        <v>0</v>
      </c>
      <c r="I45" s="156"/>
      <c r="J45" s="151" t="e">
        <f t="shared" si="8"/>
        <v>#DIV/0!</v>
      </c>
      <c r="K45" s="31"/>
      <c r="L45" s="31"/>
      <c r="M45" s="17"/>
      <c r="N45" s="17"/>
      <c r="O45" s="67"/>
      <c r="P45" s="50" t="e">
        <f t="shared" si="0"/>
        <v>#DIV/0!</v>
      </c>
      <c r="Q45" s="33" t="e">
        <f t="shared" si="1"/>
        <v>#DIV/0!</v>
      </c>
      <c r="R45" s="34" t="e">
        <f t="shared" si="2"/>
        <v>#DIV/0!</v>
      </c>
      <c r="S45" s="33" t="e">
        <f t="shared" si="5"/>
        <v>#DIV/0!</v>
      </c>
      <c r="T45" s="16" t="e">
        <f t="shared" si="3"/>
        <v>#DIV/0!</v>
      </c>
      <c r="U45" s="16" t="e">
        <f t="shared" si="4"/>
        <v>#DIV/0!</v>
      </c>
      <c r="V45" s="16" t="e">
        <f t="shared" si="6"/>
        <v>#DIV/0!</v>
      </c>
      <c r="W45" s="17"/>
    </row>
    <row r="46" spans="3:24" hidden="1">
      <c r="C46" s="66" t="s">
        <v>164</v>
      </c>
      <c r="D46" s="17" t="s">
        <v>165</v>
      </c>
      <c r="E46" s="17" t="s">
        <v>102</v>
      </c>
      <c r="F46" s="17">
        <v>123</v>
      </c>
      <c r="G46" s="17">
        <v>1000</v>
      </c>
      <c r="H46" s="30">
        <f t="shared" si="7"/>
        <v>123000</v>
      </c>
      <c r="I46" s="156">
        <f>(16.8+15.9+13.5)/3</f>
        <v>15.4</v>
      </c>
      <c r="J46" s="151">
        <f t="shared" si="8"/>
        <v>0</v>
      </c>
      <c r="K46" s="31">
        <v>13.7</v>
      </c>
      <c r="L46" s="31">
        <v>82.5</v>
      </c>
      <c r="M46" s="17">
        <v>0</v>
      </c>
      <c r="N46" s="17">
        <f>2400*2+1200</f>
        <v>6000</v>
      </c>
      <c r="O46" s="67" t="s">
        <v>166</v>
      </c>
      <c r="P46" s="50">
        <f t="shared" si="0"/>
        <v>0</v>
      </c>
      <c r="Q46" s="33">
        <f t="shared" si="1"/>
        <v>4.878048780487805E-2</v>
      </c>
      <c r="R46" s="34">
        <f t="shared" si="2"/>
        <v>4.878048780487805E-2</v>
      </c>
      <c r="S46" s="33">
        <f t="shared" si="5"/>
        <v>1</v>
      </c>
      <c r="T46" s="16">
        <f t="shared" si="3"/>
        <v>8.9781021897810227</v>
      </c>
      <c r="U46" s="16">
        <f t="shared" si="4"/>
        <v>1.490909090909091</v>
      </c>
      <c r="V46" s="16">
        <f t="shared" si="6"/>
        <v>13.385534173855344</v>
      </c>
      <c r="W46" s="17" t="s">
        <v>167</v>
      </c>
    </row>
    <row r="47" spans="3:24" hidden="1">
      <c r="C47" s="66" t="s">
        <v>169</v>
      </c>
      <c r="D47" s="17"/>
      <c r="E47" s="17"/>
      <c r="F47" s="17"/>
      <c r="G47" s="17"/>
      <c r="H47" s="30">
        <f t="shared" si="7"/>
        <v>0</v>
      </c>
      <c r="I47" s="156"/>
      <c r="J47" s="151" t="e">
        <f t="shared" si="8"/>
        <v>#DIV/0!</v>
      </c>
      <c r="K47" s="31"/>
      <c r="L47" s="31"/>
      <c r="M47" s="17"/>
      <c r="N47" s="17"/>
      <c r="O47" s="67"/>
      <c r="P47" s="50" t="e">
        <f t="shared" si="0"/>
        <v>#DIV/0!</v>
      </c>
      <c r="Q47" s="33" t="e">
        <f t="shared" si="1"/>
        <v>#DIV/0!</v>
      </c>
      <c r="R47" s="34" t="e">
        <f t="shared" si="2"/>
        <v>#DIV/0!</v>
      </c>
      <c r="S47" s="33" t="e">
        <f t="shared" si="5"/>
        <v>#DIV/0!</v>
      </c>
      <c r="T47" s="16" t="e">
        <f t="shared" si="3"/>
        <v>#DIV/0!</v>
      </c>
      <c r="U47" s="16" t="e">
        <f t="shared" si="4"/>
        <v>#DIV/0!</v>
      </c>
      <c r="V47" s="16" t="e">
        <f t="shared" si="6"/>
        <v>#DIV/0!</v>
      </c>
      <c r="W47" s="17"/>
    </row>
    <row r="48" spans="3:24" hidden="1">
      <c r="C48" s="66" t="s">
        <v>170</v>
      </c>
      <c r="D48" s="17" t="s">
        <v>171</v>
      </c>
      <c r="E48" s="17" t="s">
        <v>172</v>
      </c>
      <c r="F48" s="17">
        <v>1032</v>
      </c>
      <c r="G48" s="17">
        <v>500</v>
      </c>
      <c r="H48" s="30">
        <f t="shared" si="7"/>
        <v>516000</v>
      </c>
      <c r="I48" s="156">
        <f>(106.5+99.7+113)/3</f>
        <v>106.39999999999999</v>
      </c>
      <c r="J48" s="151">
        <f t="shared" si="8"/>
        <v>0.56484962406015038</v>
      </c>
      <c r="K48" s="31">
        <v>114</v>
      </c>
      <c r="L48" s="31">
        <v>369.6</v>
      </c>
      <c r="M48" s="17">
        <v>60.1</v>
      </c>
      <c r="N48" s="17">
        <v>2500</v>
      </c>
      <c r="O48" s="67" t="s">
        <v>173</v>
      </c>
      <c r="P48" s="50">
        <f t="shared" si="0"/>
        <v>5.8236434108527135E-2</v>
      </c>
      <c r="Q48" s="33">
        <f t="shared" si="1"/>
        <v>4.8449612403100775E-3</v>
      </c>
      <c r="R48" s="34">
        <f t="shared" si="2"/>
        <v>6.3081395348837208E-2</v>
      </c>
      <c r="S48" s="33">
        <f t="shared" si="5"/>
        <v>7.6804915514592939E-2</v>
      </c>
      <c r="T48" s="16">
        <f t="shared" si="3"/>
        <v>9.0526315789473681</v>
      </c>
      <c r="U48" s="16">
        <f t="shared" si="4"/>
        <v>2.7922077922077921</v>
      </c>
      <c r="V48" s="16">
        <f t="shared" si="6"/>
        <v>25.276828434723171</v>
      </c>
      <c r="W48" s="17" t="s">
        <v>174</v>
      </c>
    </row>
    <row r="49" spans="3:23" hidden="1">
      <c r="C49" s="66" t="s">
        <v>175</v>
      </c>
      <c r="D49" s="17" t="s">
        <v>176</v>
      </c>
      <c r="E49" s="17" t="s">
        <v>177</v>
      </c>
      <c r="F49" s="17">
        <v>1482</v>
      </c>
      <c r="G49" s="17">
        <v>100</v>
      </c>
      <c r="H49" s="30">
        <f t="shared" si="7"/>
        <v>148200</v>
      </c>
      <c r="I49" s="156">
        <f>(59.1+107.1+180)/3</f>
        <v>115.39999999999999</v>
      </c>
      <c r="J49" s="151">
        <f t="shared" si="8"/>
        <v>0.19064124783362218</v>
      </c>
      <c r="K49" s="31">
        <v>134</v>
      </c>
      <c r="L49" s="31">
        <v>1118</v>
      </c>
      <c r="M49" s="17">
        <v>22</v>
      </c>
      <c r="N49" s="17">
        <v>5000</v>
      </c>
      <c r="O49" s="67" t="s">
        <v>47</v>
      </c>
      <c r="P49" s="50">
        <f t="shared" si="0"/>
        <v>1.4844804318488529E-2</v>
      </c>
      <c r="Q49" s="33">
        <f t="shared" si="1"/>
        <v>3.3738191632928474E-2</v>
      </c>
      <c r="R49" s="34">
        <f t="shared" si="2"/>
        <v>4.8582995951417005E-2</v>
      </c>
      <c r="S49" s="33">
        <f t="shared" si="5"/>
        <v>0.69444444444444442</v>
      </c>
      <c r="T49" s="16">
        <f t="shared" si="3"/>
        <v>11.059701492537313</v>
      </c>
      <c r="U49" s="16">
        <f t="shared" si="4"/>
        <v>1.3255813953488371</v>
      </c>
      <c r="V49" s="16">
        <f t="shared" si="6"/>
        <v>14.660534536619227</v>
      </c>
      <c r="W49" s="17" t="s">
        <v>178</v>
      </c>
    </row>
    <row r="50" spans="3:23" hidden="1">
      <c r="C50" s="66" t="s">
        <v>179</v>
      </c>
      <c r="D50" s="17" t="s">
        <v>180</v>
      </c>
      <c r="E50" s="17" t="s">
        <v>181</v>
      </c>
      <c r="F50" s="17">
        <v>1555</v>
      </c>
      <c r="G50" s="17">
        <v>100</v>
      </c>
      <c r="H50" s="30">
        <f t="shared" si="7"/>
        <v>155500</v>
      </c>
      <c r="I50" s="156">
        <f>(87.4+82.9+114.9)/3</f>
        <v>95.066666666666677</v>
      </c>
      <c r="J50" s="151">
        <f t="shared" si="8"/>
        <v>0.36816269284712477</v>
      </c>
      <c r="K50" s="31">
        <v>134.69999999999999</v>
      </c>
      <c r="L50" s="31">
        <v>598.4</v>
      </c>
      <c r="M50" s="17">
        <v>35</v>
      </c>
      <c r="N50" s="17">
        <v>9000</v>
      </c>
      <c r="O50" s="67" t="s">
        <v>128</v>
      </c>
      <c r="P50" s="50">
        <f t="shared" si="0"/>
        <v>2.2508038585209004E-2</v>
      </c>
      <c r="Q50" s="33">
        <f t="shared" si="1"/>
        <v>5.7877813504823149E-2</v>
      </c>
      <c r="R50" s="34">
        <f t="shared" si="2"/>
        <v>8.0385852090032156E-2</v>
      </c>
      <c r="S50" s="33">
        <f t="shared" si="5"/>
        <v>0.72</v>
      </c>
      <c r="T50" s="16">
        <f t="shared" si="3"/>
        <v>11.544172234595399</v>
      </c>
      <c r="U50" s="16">
        <f t="shared" si="4"/>
        <v>2.598596256684492</v>
      </c>
      <c r="V50" s="16">
        <f t="shared" si="6"/>
        <v>29.998642755340651</v>
      </c>
      <c r="W50" s="17" t="s">
        <v>182</v>
      </c>
    </row>
    <row r="51" spans="3:23" hidden="1">
      <c r="C51" s="66" t="s">
        <v>183</v>
      </c>
      <c r="D51" s="17" t="s">
        <v>184</v>
      </c>
      <c r="E51" s="17" t="s">
        <v>132</v>
      </c>
      <c r="F51" s="17">
        <v>899</v>
      </c>
      <c r="G51" s="17">
        <v>100</v>
      </c>
      <c r="H51" s="30">
        <f t="shared" si="7"/>
        <v>89900</v>
      </c>
      <c r="I51" s="156">
        <f>(236.3+200.5+117.4)/3</f>
        <v>184.73333333333335</v>
      </c>
      <c r="J51" s="151">
        <f t="shared" si="8"/>
        <v>0.19487549621075423</v>
      </c>
      <c r="K51" s="31">
        <v>69.8</v>
      </c>
      <c r="L51" s="31">
        <v>1570</v>
      </c>
      <c r="M51" s="17">
        <v>36</v>
      </c>
      <c r="N51" s="17">
        <v>2000</v>
      </c>
      <c r="O51" s="67" t="s">
        <v>47</v>
      </c>
      <c r="P51" s="50">
        <f t="shared" si="0"/>
        <v>4.0044493882091213E-2</v>
      </c>
      <c r="Q51" s="33">
        <f t="shared" si="1"/>
        <v>2.224694104560623E-2</v>
      </c>
      <c r="R51" s="34">
        <f t="shared" si="2"/>
        <v>6.2291434927697439E-2</v>
      </c>
      <c r="S51" s="33">
        <f t="shared" si="5"/>
        <v>0.35714285714285715</v>
      </c>
      <c r="T51" s="16">
        <f t="shared" si="3"/>
        <v>12.879656160458453</v>
      </c>
      <c r="U51" s="16">
        <f t="shared" si="4"/>
        <v>0.57261146496815285</v>
      </c>
      <c r="V51" s="18">
        <f t="shared" si="6"/>
        <v>7.3750387823262091</v>
      </c>
      <c r="W51" s="17" t="s">
        <v>185</v>
      </c>
    </row>
    <row r="52" spans="3:23" hidden="1">
      <c r="C52" s="66" t="s">
        <v>186</v>
      </c>
      <c r="D52" s="17" t="s">
        <v>187</v>
      </c>
      <c r="E52" s="17" t="s">
        <v>132</v>
      </c>
      <c r="F52" s="17">
        <v>2293</v>
      </c>
      <c r="G52" s="17">
        <v>100</v>
      </c>
      <c r="H52" s="30">
        <f t="shared" si="7"/>
        <v>229300</v>
      </c>
      <c r="I52" s="156">
        <f>(180.8+290.9+267.4)/3</f>
        <v>246.36666666666665</v>
      </c>
      <c r="J52" s="151">
        <f t="shared" si="8"/>
        <v>0.36530915978893252</v>
      </c>
      <c r="K52" s="31">
        <v>229</v>
      </c>
      <c r="L52" s="31">
        <v>1947</v>
      </c>
      <c r="M52" s="17">
        <v>90</v>
      </c>
      <c r="N52" s="17">
        <v>2000</v>
      </c>
      <c r="O52" s="67" t="s">
        <v>188</v>
      </c>
      <c r="P52" s="50">
        <f t="shared" si="0"/>
        <v>3.9249890972525077E-2</v>
      </c>
      <c r="Q52" s="33">
        <f t="shared" si="1"/>
        <v>8.7221979938944608E-3</v>
      </c>
      <c r="R52" s="34">
        <f t="shared" si="2"/>
        <v>4.7972088966419538E-2</v>
      </c>
      <c r="S52" s="33">
        <f t="shared" si="5"/>
        <v>0.1818181818181818</v>
      </c>
      <c r="T52" s="16">
        <f t="shared" si="3"/>
        <v>10.013100436681222</v>
      </c>
      <c r="U52" s="16">
        <f t="shared" si="4"/>
        <v>1.1777092963533642</v>
      </c>
      <c r="V52" s="16">
        <f t="shared" si="6"/>
        <v>11.792521469599405</v>
      </c>
      <c r="W52" s="17" t="s">
        <v>189</v>
      </c>
    </row>
    <row r="53" spans="3:23" hidden="1">
      <c r="C53" s="66" t="s">
        <v>191</v>
      </c>
      <c r="D53" s="17" t="s">
        <v>192</v>
      </c>
      <c r="E53" s="17" t="s">
        <v>132</v>
      </c>
      <c r="F53" s="17">
        <v>2522</v>
      </c>
      <c r="G53" s="17">
        <v>100</v>
      </c>
      <c r="H53" s="30">
        <f t="shared" si="7"/>
        <v>252200</v>
      </c>
      <c r="I53" s="156">
        <f>(288.4+328.7+269.5)/3</f>
        <v>295.5333333333333</v>
      </c>
      <c r="J53" s="151">
        <f t="shared" si="8"/>
        <v>0.30453417550191747</v>
      </c>
      <c r="K53" s="31">
        <v>207.7</v>
      </c>
      <c r="L53" s="31">
        <v>4134</v>
      </c>
      <c r="M53" s="17">
        <v>90</v>
      </c>
      <c r="N53" s="17">
        <v>3000</v>
      </c>
      <c r="O53" s="67" t="s">
        <v>128</v>
      </c>
      <c r="P53" s="50">
        <f t="shared" si="0"/>
        <v>3.5685963521015066E-2</v>
      </c>
      <c r="Q53" s="33">
        <f t="shared" si="1"/>
        <v>1.1895321173671689E-2</v>
      </c>
      <c r="R53" s="34">
        <f t="shared" si="2"/>
        <v>4.7581284694686754E-2</v>
      </c>
      <c r="S53" s="33">
        <f t="shared" si="5"/>
        <v>0.25</v>
      </c>
      <c r="T53" s="16">
        <f t="shared" si="3"/>
        <v>12.142513240250361</v>
      </c>
      <c r="U53" s="16">
        <f t="shared" si="4"/>
        <v>0.61006289308176098</v>
      </c>
      <c r="V53" s="16">
        <f t="shared" si="6"/>
        <v>7.407696756630723</v>
      </c>
      <c r="W53" s="17" t="s">
        <v>193</v>
      </c>
    </row>
    <row r="54" spans="3:23" hidden="1">
      <c r="C54" s="66" t="s">
        <v>194</v>
      </c>
      <c r="D54" s="17"/>
      <c r="E54" s="17"/>
      <c r="F54" s="17"/>
      <c r="G54" s="17"/>
      <c r="H54" s="30">
        <f t="shared" si="7"/>
        <v>0</v>
      </c>
      <c r="I54" s="156"/>
      <c r="J54" s="151" t="e">
        <f t="shared" si="8"/>
        <v>#DIV/0!</v>
      </c>
      <c r="K54" s="31"/>
      <c r="L54" s="31"/>
      <c r="M54" s="17"/>
      <c r="N54" s="17"/>
      <c r="O54" s="67"/>
      <c r="P54" s="50" t="e">
        <f t="shared" si="0"/>
        <v>#DIV/0!</v>
      </c>
      <c r="Q54" s="33" t="e">
        <f t="shared" si="1"/>
        <v>#DIV/0!</v>
      </c>
      <c r="R54" s="34" t="e">
        <f t="shared" si="2"/>
        <v>#DIV/0!</v>
      </c>
      <c r="S54" s="33" t="e">
        <f t="shared" si="5"/>
        <v>#DIV/0!</v>
      </c>
      <c r="T54" s="16" t="e">
        <f t="shared" si="3"/>
        <v>#DIV/0!</v>
      </c>
      <c r="U54" s="16" t="e">
        <f t="shared" si="4"/>
        <v>#DIV/0!</v>
      </c>
      <c r="V54" s="16" t="e">
        <f t="shared" si="6"/>
        <v>#DIV/0!</v>
      </c>
      <c r="W54" s="17"/>
    </row>
    <row r="55" spans="3:23" hidden="1">
      <c r="C55" s="66" t="s">
        <v>195</v>
      </c>
      <c r="D55" s="17"/>
      <c r="E55" s="17"/>
      <c r="F55" s="17"/>
      <c r="G55" s="17"/>
      <c r="H55" s="30">
        <f t="shared" si="7"/>
        <v>0</v>
      </c>
      <c r="I55" s="156"/>
      <c r="J55" s="151" t="e">
        <f t="shared" si="8"/>
        <v>#DIV/0!</v>
      </c>
      <c r="K55" s="31"/>
      <c r="L55" s="31"/>
      <c r="M55" s="17"/>
      <c r="N55" s="17"/>
      <c r="O55" s="67"/>
      <c r="P55" s="50" t="e">
        <f t="shared" si="0"/>
        <v>#DIV/0!</v>
      </c>
      <c r="Q55" s="33" t="e">
        <f t="shared" si="1"/>
        <v>#DIV/0!</v>
      </c>
      <c r="R55" s="34" t="e">
        <f t="shared" si="2"/>
        <v>#DIV/0!</v>
      </c>
      <c r="S55" s="33" t="e">
        <f t="shared" si="5"/>
        <v>#DIV/0!</v>
      </c>
      <c r="T55" s="16" t="e">
        <f t="shared" si="3"/>
        <v>#DIV/0!</v>
      </c>
      <c r="U55" s="16" t="e">
        <f t="shared" si="4"/>
        <v>#DIV/0!</v>
      </c>
      <c r="V55" s="16" t="e">
        <f t="shared" si="6"/>
        <v>#DIV/0!</v>
      </c>
      <c r="W55" s="17"/>
    </row>
    <row r="56" spans="3:23" hidden="1">
      <c r="C56" s="66" t="s">
        <v>196</v>
      </c>
      <c r="D56" s="17" t="s">
        <v>197</v>
      </c>
      <c r="E56" s="17" t="s">
        <v>198</v>
      </c>
      <c r="F56" s="17">
        <v>364</v>
      </c>
      <c r="G56" s="17">
        <v>100</v>
      </c>
      <c r="H56" s="30">
        <f t="shared" si="7"/>
        <v>36400</v>
      </c>
      <c r="I56" s="156">
        <f>(-30.4+18.4+19.8)/3</f>
        <v>2.6</v>
      </c>
      <c r="J56" s="151">
        <f t="shared" si="8"/>
        <v>3.8461538461538458</v>
      </c>
      <c r="K56" s="31">
        <v>14.5</v>
      </c>
      <c r="L56" s="31">
        <v>622.29999999999995</v>
      </c>
      <c r="M56" s="17">
        <v>10</v>
      </c>
      <c r="N56" s="17">
        <v>2000</v>
      </c>
      <c r="O56" s="67" t="s">
        <v>199</v>
      </c>
      <c r="P56" s="50">
        <f t="shared" si="0"/>
        <v>2.7472527472527472E-2</v>
      </c>
      <c r="Q56" s="33">
        <f t="shared" si="1"/>
        <v>5.4945054945054944E-2</v>
      </c>
      <c r="R56" s="34">
        <f t="shared" si="2"/>
        <v>8.2417582417582416E-2</v>
      </c>
      <c r="S56" s="33">
        <f t="shared" si="5"/>
        <v>0.66666666666666663</v>
      </c>
      <c r="T56" s="16">
        <f t="shared" si="3"/>
        <v>25.103448275862068</v>
      </c>
      <c r="U56" s="16">
        <f t="shared" si="4"/>
        <v>0.58492688413948257</v>
      </c>
      <c r="V56" s="16">
        <f t="shared" si="6"/>
        <v>14.683681781156665</v>
      </c>
      <c r="W56" s="17" t="s">
        <v>200</v>
      </c>
    </row>
    <row r="57" spans="3:23" hidden="1">
      <c r="C57" s="66" t="s">
        <v>201</v>
      </c>
      <c r="D57" s="17"/>
      <c r="E57" s="17"/>
      <c r="F57" s="17"/>
      <c r="G57" s="17"/>
      <c r="H57" s="30">
        <f t="shared" si="7"/>
        <v>0</v>
      </c>
      <c r="I57" s="156"/>
      <c r="J57" s="151" t="e">
        <f t="shared" si="8"/>
        <v>#DIV/0!</v>
      </c>
      <c r="K57" s="31"/>
      <c r="L57" s="31"/>
      <c r="M57" s="17"/>
      <c r="N57" s="17"/>
      <c r="O57" s="67"/>
      <c r="P57" s="50" t="e">
        <f>M57/F57</f>
        <v>#DIV/0!</v>
      </c>
      <c r="Q57" s="33" t="e">
        <f>N57/(F57*G57)</f>
        <v>#DIV/0!</v>
      </c>
      <c r="R57" s="34" t="e">
        <f t="shared" si="2"/>
        <v>#DIV/0!</v>
      </c>
      <c r="S57" s="33" t="e">
        <f t="shared" si="5"/>
        <v>#DIV/0!</v>
      </c>
      <c r="T57" s="16" t="e">
        <f>F57/K57</f>
        <v>#DIV/0!</v>
      </c>
      <c r="U57" s="16" t="e">
        <f>F57/L57</f>
        <v>#DIV/0!</v>
      </c>
      <c r="V57" s="16" t="e">
        <f t="shared" si="6"/>
        <v>#DIV/0!</v>
      </c>
      <c r="W57" s="17"/>
    </row>
    <row r="58" spans="3:23" hidden="1">
      <c r="C58" s="66" t="s">
        <v>202</v>
      </c>
      <c r="D58" s="17" t="s">
        <v>203</v>
      </c>
      <c r="E58" s="17" t="s">
        <v>65</v>
      </c>
      <c r="F58" s="17">
        <v>520</v>
      </c>
      <c r="G58" s="17">
        <v>100</v>
      </c>
      <c r="H58" s="30">
        <f t="shared" si="7"/>
        <v>52000</v>
      </c>
      <c r="I58" s="156">
        <v>54</v>
      </c>
      <c r="J58" s="151">
        <f t="shared" si="8"/>
        <v>0.37037037037037035</v>
      </c>
      <c r="K58" s="31">
        <v>55.4</v>
      </c>
      <c r="L58" s="31">
        <v>1159</v>
      </c>
      <c r="M58" s="17">
        <v>20</v>
      </c>
      <c r="N58" s="17">
        <v>500</v>
      </c>
      <c r="O58" s="67" t="s">
        <v>106</v>
      </c>
      <c r="P58" s="50">
        <f>M58/F58</f>
        <v>3.8461538461538464E-2</v>
      </c>
      <c r="Q58" s="33">
        <f>N58/(F58*G58)</f>
        <v>9.6153846153846159E-3</v>
      </c>
      <c r="R58" s="34">
        <f t="shared" si="2"/>
        <v>4.807692307692308E-2</v>
      </c>
      <c r="S58" s="33">
        <f t="shared" si="5"/>
        <v>0.2</v>
      </c>
      <c r="T58" s="16">
        <f>F58/K58</f>
        <v>9.3862815884476536</v>
      </c>
      <c r="U58" s="16">
        <f>F58/L58</f>
        <v>0.44866264020707508</v>
      </c>
      <c r="V58" s="16">
        <f t="shared" si="6"/>
        <v>4.2112738791999824</v>
      </c>
      <c r="W58" s="17" t="s">
        <v>204</v>
      </c>
    </row>
    <row r="59" spans="3:23" hidden="1">
      <c r="C59" s="66" t="s">
        <v>205</v>
      </c>
      <c r="D59" s="17" t="s">
        <v>206</v>
      </c>
      <c r="E59" s="17" t="s">
        <v>65</v>
      </c>
      <c r="F59" s="17">
        <v>504</v>
      </c>
      <c r="G59" s="17"/>
      <c r="H59" s="30">
        <f t="shared" si="7"/>
        <v>0</v>
      </c>
      <c r="I59" s="156"/>
      <c r="J59" s="151" t="e">
        <f t="shared" si="8"/>
        <v>#DIV/0!</v>
      </c>
      <c r="K59" s="31"/>
      <c r="L59" s="31"/>
      <c r="M59" s="17"/>
      <c r="N59" s="17"/>
      <c r="O59" s="67"/>
      <c r="P59" s="50">
        <f>M59/F59</f>
        <v>0</v>
      </c>
      <c r="Q59" s="33" t="e">
        <f>N59/(F59*G59)</f>
        <v>#DIV/0!</v>
      </c>
      <c r="R59" s="34" t="e">
        <f t="shared" si="2"/>
        <v>#DIV/0!</v>
      </c>
      <c r="S59" s="33" t="e">
        <f t="shared" si="5"/>
        <v>#DIV/0!</v>
      </c>
      <c r="T59" s="16" t="e">
        <f>F59/K59</f>
        <v>#DIV/0!</v>
      </c>
      <c r="U59" s="16" t="e">
        <f>F59/L59</f>
        <v>#DIV/0!</v>
      </c>
      <c r="V59" s="16" t="e">
        <f t="shared" si="6"/>
        <v>#DIV/0!</v>
      </c>
      <c r="W59" s="17"/>
    </row>
    <row r="60" spans="3:23" hidden="1">
      <c r="C60" s="66" t="s">
        <v>207</v>
      </c>
      <c r="D60" s="17" t="s">
        <v>208</v>
      </c>
      <c r="E60" s="17" t="s">
        <v>65</v>
      </c>
      <c r="F60" s="17">
        <v>1563</v>
      </c>
      <c r="G60" s="17">
        <v>100</v>
      </c>
      <c r="H60" s="30">
        <f t="shared" si="7"/>
        <v>156300</v>
      </c>
      <c r="I60" s="156">
        <v>186.4</v>
      </c>
      <c r="J60" s="151">
        <f t="shared" si="8"/>
        <v>0.53648068669527893</v>
      </c>
      <c r="K60" s="31">
        <v>0</v>
      </c>
      <c r="L60" s="31">
        <v>1584</v>
      </c>
      <c r="M60" s="17">
        <v>100</v>
      </c>
      <c r="N60" s="17"/>
      <c r="O60" s="67" t="s">
        <v>209</v>
      </c>
      <c r="P60" s="50">
        <f>M60/F60</f>
        <v>6.3979526551503518E-2</v>
      </c>
      <c r="Q60" s="33">
        <f>N60/(F60*G60)</f>
        <v>0</v>
      </c>
      <c r="R60" s="34">
        <f t="shared" si="2"/>
        <v>6.3979526551503518E-2</v>
      </c>
      <c r="S60" s="33">
        <f t="shared" si="5"/>
        <v>0</v>
      </c>
      <c r="T60" s="16" t="e">
        <f>F60/K60</f>
        <v>#DIV/0!</v>
      </c>
      <c r="U60" s="16">
        <f>F60/L60</f>
        <v>0.9867424242424242</v>
      </c>
      <c r="V60" s="16" t="e">
        <f t="shared" si="6"/>
        <v>#DIV/0!</v>
      </c>
      <c r="W60" s="17" t="s">
        <v>210</v>
      </c>
    </row>
    <row r="61" spans="3:23" hidden="1">
      <c r="C61" s="66" t="s">
        <v>211</v>
      </c>
      <c r="D61" s="17"/>
      <c r="E61" s="17"/>
      <c r="F61" s="17"/>
      <c r="G61" s="17"/>
      <c r="H61" s="30">
        <f t="shared" si="7"/>
        <v>0</v>
      </c>
      <c r="I61" s="156"/>
      <c r="J61" s="151" t="e">
        <f t="shared" si="8"/>
        <v>#DIV/0!</v>
      </c>
      <c r="K61" s="31"/>
      <c r="L61" s="31"/>
      <c r="M61" s="17"/>
      <c r="N61" s="17"/>
      <c r="O61" s="67"/>
      <c r="P61" s="50" t="e">
        <f t="shared" ref="P61:P73" si="9">M61/F61</f>
        <v>#DIV/0!</v>
      </c>
      <c r="Q61" s="33" t="e">
        <f t="shared" ref="Q61:Q73" si="10">N61/(F61*G61)</f>
        <v>#DIV/0!</v>
      </c>
      <c r="R61" s="34" t="e">
        <f t="shared" si="2"/>
        <v>#DIV/0!</v>
      </c>
      <c r="S61" s="33" t="e">
        <f t="shared" si="5"/>
        <v>#DIV/0!</v>
      </c>
      <c r="T61" s="16" t="e">
        <f t="shared" ref="T61:T73" si="11">F61/K61</f>
        <v>#DIV/0!</v>
      </c>
      <c r="U61" s="16" t="e">
        <f t="shared" ref="U61:U73" si="12">F61/L61</f>
        <v>#DIV/0!</v>
      </c>
      <c r="V61" s="16" t="e">
        <f t="shared" si="6"/>
        <v>#DIV/0!</v>
      </c>
      <c r="W61" s="17"/>
    </row>
    <row r="62" spans="3:23" hidden="1">
      <c r="C62" s="66" t="s">
        <v>212</v>
      </c>
      <c r="D62" s="17" t="s">
        <v>213</v>
      </c>
      <c r="E62" s="17" t="s">
        <v>46</v>
      </c>
      <c r="F62" s="17">
        <f>1787*2</f>
        <v>3574</v>
      </c>
      <c r="G62" s="17">
        <v>50</v>
      </c>
      <c r="H62" s="30">
        <f t="shared" si="7"/>
        <v>178700</v>
      </c>
      <c r="I62" s="156">
        <v>554.92999999999995</v>
      </c>
      <c r="J62" s="151">
        <f t="shared" si="8"/>
        <v>0.19822319932243709</v>
      </c>
      <c r="K62" s="31">
        <f>337*2</f>
        <v>674</v>
      </c>
      <c r="L62" s="31">
        <f>2383*2</f>
        <v>4766</v>
      </c>
      <c r="M62" s="17">
        <v>110</v>
      </c>
      <c r="N62" s="17">
        <v>3000</v>
      </c>
      <c r="O62" s="67" t="s">
        <v>214</v>
      </c>
      <c r="P62" s="50">
        <f t="shared" si="9"/>
        <v>3.0777839955232231E-2</v>
      </c>
      <c r="Q62" s="33">
        <f t="shared" si="10"/>
        <v>1.6787912702853944E-2</v>
      </c>
      <c r="R62" s="34">
        <f t="shared" si="2"/>
        <v>4.7565752658086179E-2</v>
      </c>
      <c r="S62" s="33">
        <f t="shared" si="5"/>
        <v>0.3529411764705882</v>
      </c>
      <c r="T62" s="16">
        <f t="shared" si="11"/>
        <v>5.3026706231454002</v>
      </c>
      <c r="U62" s="16">
        <f t="shared" si="12"/>
        <v>0.74989509022240874</v>
      </c>
      <c r="V62" s="18">
        <f t="shared" si="6"/>
        <v>3.9764466653633361</v>
      </c>
      <c r="W62" s="17" t="s">
        <v>215</v>
      </c>
    </row>
    <row r="63" spans="3:23" hidden="1">
      <c r="C63" s="66" t="s">
        <v>216</v>
      </c>
      <c r="D63" s="17" t="s">
        <v>217</v>
      </c>
      <c r="E63" s="17" t="s">
        <v>218</v>
      </c>
      <c r="F63" s="17">
        <v>3401</v>
      </c>
      <c r="G63" s="17">
        <v>100</v>
      </c>
      <c r="H63" s="30">
        <f t="shared" si="7"/>
        <v>340100</v>
      </c>
      <c r="I63" s="156">
        <v>423.9</v>
      </c>
      <c r="J63" s="151">
        <f t="shared" si="8"/>
        <v>0.25949516395376271</v>
      </c>
      <c r="K63" s="31">
        <v>340.3</v>
      </c>
      <c r="L63" s="31">
        <v>3418</v>
      </c>
      <c r="M63" s="17">
        <v>110</v>
      </c>
      <c r="N63" s="17"/>
      <c r="O63" s="67" t="s">
        <v>219</v>
      </c>
      <c r="P63" s="50">
        <f t="shared" si="9"/>
        <v>3.2343428403410764E-2</v>
      </c>
      <c r="Q63" s="33">
        <f t="shared" si="10"/>
        <v>0</v>
      </c>
      <c r="R63" s="34">
        <f t="shared" si="2"/>
        <v>3.2343428403410764E-2</v>
      </c>
      <c r="S63" s="33">
        <f t="shared" si="5"/>
        <v>0</v>
      </c>
      <c r="T63" s="16">
        <f t="shared" si="11"/>
        <v>9.9941228327945932</v>
      </c>
      <c r="U63" s="16">
        <f t="shared" si="12"/>
        <v>0.99502633118782913</v>
      </c>
      <c r="V63" s="16">
        <f t="shared" si="6"/>
        <v>9.9444153757561171</v>
      </c>
      <c r="W63" s="17" t="s">
        <v>220</v>
      </c>
    </row>
    <row r="64" spans="3:23" hidden="1">
      <c r="C64" s="66" t="s">
        <v>221</v>
      </c>
      <c r="D64" s="17" t="s">
        <v>222</v>
      </c>
      <c r="E64" s="17" t="s">
        <v>65</v>
      </c>
      <c r="F64" s="17">
        <v>955</v>
      </c>
      <c r="G64" s="17">
        <v>100</v>
      </c>
      <c r="H64" s="30">
        <f t="shared" si="7"/>
        <v>95500</v>
      </c>
      <c r="I64" s="156">
        <f>(14.9+27.7+19.8)/3</f>
        <v>20.8</v>
      </c>
      <c r="J64" s="151">
        <f t="shared" si="8"/>
        <v>0</v>
      </c>
      <c r="K64" s="31">
        <v>35.799999999999997</v>
      </c>
      <c r="L64" s="31">
        <v>186.7</v>
      </c>
      <c r="M64" s="17">
        <v>0</v>
      </c>
      <c r="N64" s="17">
        <v>5000</v>
      </c>
      <c r="O64" s="67" t="s">
        <v>223</v>
      </c>
      <c r="P64" s="50">
        <f t="shared" si="9"/>
        <v>0</v>
      </c>
      <c r="Q64" s="33">
        <f t="shared" si="10"/>
        <v>5.2356020942408377E-2</v>
      </c>
      <c r="R64" s="34">
        <f t="shared" si="2"/>
        <v>5.2356020942408377E-2</v>
      </c>
      <c r="S64" s="33">
        <f t="shared" si="5"/>
        <v>1</v>
      </c>
      <c r="T64" s="16">
        <f t="shared" si="11"/>
        <v>26.675977653631286</v>
      </c>
      <c r="U64" s="16">
        <f t="shared" si="12"/>
        <v>5.1151580074986613</v>
      </c>
      <c r="V64" s="16">
        <f t="shared" si="6"/>
        <v>136.45184070282741</v>
      </c>
      <c r="W64" s="17" t="s">
        <v>224</v>
      </c>
    </row>
    <row r="65" spans="3:23" hidden="1">
      <c r="C65" s="66" t="s">
        <v>225</v>
      </c>
      <c r="D65" s="17" t="s">
        <v>226</v>
      </c>
      <c r="E65" s="17" t="s">
        <v>60</v>
      </c>
      <c r="F65" s="17">
        <v>857</v>
      </c>
      <c r="G65" s="17">
        <v>100</v>
      </c>
      <c r="H65" s="30">
        <f t="shared" si="7"/>
        <v>85700</v>
      </c>
      <c r="I65" s="156">
        <f>(122.1+78.3+66)/3</f>
        <v>88.8</v>
      </c>
      <c r="J65" s="151">
        <f t="shared" si="8"/>
        <v>0.27027027027027029</v>
      </c>
      <c r="K65" s="31">
        <v>85.8</v>
      </c>
      <c r="L65" s="31">
        <v>1335</v>
      </c>
      <c r="M65" s="17">
        <v>24</v>
      </c>
      <c r="N65" s="17">
        <v>2000</v>
      </c>
      <c r="O65" s="67" t="s">
        <v>47</v>
      </c>
      <c r="P65" s="50">
        <f t="shared" si="9"/>
        <v>2.8004667444574097E-2</v>
      </c>
      <c r="Q65" s="33">
        <f t="shared" si="10"/>
        <v>2.3337222870478413E-2</v>
      </c>
      <c r="R65" s="34">
        <f t="shared" si="2"/>
        <v>5.1341890315052506E-2</v>
      </c>
      <c r="S65" s="33">
        <f t="shared" si="5"/>
        <v>0.45454545454545459</v>
      </c>
      <c r="T65" s="16">
        <f t="shared" si="11"/>
        <v>9.9883449883449895</v>
      </c>
      <c r="U65" s="16">
        <f t="shared" si="12"/>
        <v>0.6419475655430712</v>
      </c>
      <c r="V65" s="16">
        <f t="shared" si="6"/>
        <v>6.4119937490724022</v>
      </c>
      <c r="W65" s="17" t="s">
        <v>227</v>
      </c>
    </row>
    <row r="66" spans="3:23" hidden="1">
      <c r="C66" s="66" t="s">
        <v>228</v>
      </c>
      <c r="D66" s="17"/>
      <c r="E66" s="17"/>
      <c r="F66" s="17"/>
      <c r="G66" s="17"/>
      <c r="H66" s="30">
        <f t="shared" si="7"/>
        <v>0</v>
      </c>
      <c r="I66" s="156"/>
      <c r="J66" s="151" t="e">
        <f t="shared" si="8"/>
        <v>#DIV/0!</v>
      </c>
      <c r="K66" s="31"/>
      <c r="L66" s="31"/>
      <c r="M66" s="17"/>
      <c r="N66" s="17"/>
      <c r="O66" s="67"/>
      <c r="P66" s="50" t="e">
        <f t="shared" si="9"/>
        <v>#DIV/0!</v>
      </c>
      <c r="Q66" s="33" t="e">
        <f t="shared" si="10"/>
        <v>#DIV/0!</v>
      </c>
      <c r="R66" s="34" t="e">
        <f t="shared" si="2"/>
        <v>#DIV/0!</v>
      </c>
      <c r="S66" s="33" t="e">
        <f t="shared" si="5"/>
        <v>#DIV/0!</v>
      </c>
      <c r="T66" s="16" t="e">
        <f t="shared" si="11"/>
        <v>#DIV/0!</v>
      </c>
      <c r="U66" s="16" t="e">
        <f t="shared" si="12"/>
        <v>#DIV/0!</v>
      </c>
      <c r="V66" s="16" t="e">
        <f t="shared" si="6"/>
        <v>#DIV/0!</v>
      </c>
      <c r="W66" s="17"/>
    </row>
    <row r="67" spans="3:23" hidden="1">
      <c r="C67" s="66" t="s">
        <v>229</v>
      </c>
      <c r="D67" s="17"/>
      <c r="E67" s="17"/>
      <c r="F67" s="17"/>
      <c r="G67" s="17"/>
      <c r="H67" s="30">
        <f t="shared" si="7"/>
        <v>0</v>
      </c>
      <c r="I67" s="156"/>
      <c r="J67" s="151" t="e">
        <f t="shared" si="8"/>
        <v>#DIV/0!</v>
      </c>
      <c r="K67" s="31"/>
      <c r="L67" s="31"/>
      <c r="M67" s="17"/>
      <c r="N67" s="17"/>
      <c r="O67" s="67"/>
      <c r="P67" s="50" t="e">
        <f t="shared" si="9"/>
        <v>#DIV/0!</v>
      </c>
      <c r="Q67" s="33" t="e">
        <f t="shared" si="10"/>
        <v>#DIV/0!</v>
      </c>
      <c r="R67" s="34" t="e">
        <f t="shared" si="2"/>
        <v>#DIV/0!</v>
      </c>
      <c r="S67" s="33" t="e">
        <f t="shared" si="5"/>
        <v>#DIV/0!</v>
      </c>
      <c r="T67" s="16" t="e">
        <f t="shared" si="11"/>
        <v>#DIV/0!</v>
      </c>
      <c r="U67" s="16" t="e">
        <f t="shared" si="12"/>
        <v>#DIV/0!</v>
      </c>
      <c r="V67" s="16" t="e">
        <f t="shared" si="6"/>
        <v>#DIV/0!</v>
      </c>
      <c r="W67" s="17"/>
    </row>
    <row r="68" spans="3:23" hidden="1">
      <c r="C68" s="66" t="s">
        <v>230</v>
      </c>
      <c r="D68" s="17"/>
      <c r="E68" s="17"/>
      <c r="F68" s="17"/>
      <c r="G68" s="17"/>
      <c r="H68" s="30">
        <f t="shared" si="7"/>
        <v>0</v>
      </c>
      <c r="I68" s="156"/>
      <c r="J68" s="151" t="e">
        <f t="shared" si="8"/>
        <v>#DIV/0!</v>
      </c>
      <c r="K68" s="31"/>
      <c r="L68" s="31"/>
      <c r="M68" s="17"/>
      <c r="N68" s="17"/>
      <c r="O68" s="67"/>
      <c r="P68" s="50" t="e">
        <f t="shared" si="9"/>
        <v>#DIV/0!</v>
      </c>
      <c r="Q68" s="33" t="e">
        <f t="shared" si="10"/>
        <v>#DIV/0!</v>
      </c>
      <c r="R68" s="34" t="e">
        <f t="shared" si="2"/>
        <v>#DIV/0!</v>
      </c>
      <c r="S68" s="33" t="e">
        <f t="shared" si="5"/>
        <v>#DIV/0!</v>
      </c>
      <c r="T68" s="16" t="e">
        <f t="shared" si="11"/>
        <v>#DIV/0!</v>
      </c>
      <c r="U68" s="16" t="e">
        <f t="shared" si="12"/>
        <v>#DIV/0!</v>
      </c>
      <c r="V68" s="16" t="e">
        <f t="shared" si="6"/>
        <v>#DIV/0!</v>
      </c>
      <c r="W68" s="17"/>
    </row>
    <row r="69" spans="3:23" hidden="1">
      <c r="C69" s="66" t="s">
        <v>231</v>
      </c>
      <c r="D69" s="17" t="s">
        <v>232</v>
      </c>
      <c r="E69" s="17" t="s">
        <v>102</v>
      </c>
      <c r="F69" s="17">
        <v>535</v>
      </c>
      <c r="G69" s="17">
        <v>100</v>
      </c>
      <c r="H69" s="30">
        <f t="shared" si="7"/>
        <v>53500</v>
      </c>
      <c r="I69" s="156">
        <f>(13.8+25.9+29.3)/3</f>
        <v>23</v>
      </c>
      <c r="J69" s="151">
        <f t="shared" si="8"/>
        <v>0.56521739130434778</v>
      </c>
      <c r="K69" s="31">
        <v>44.5</v>
      </c>
      <c r="L69" s="31">
        <v>1092</v>
      </c>
      <c r="M69" s="17">
        <v>13</v>
      </c>
      <c r="N69" s="17">
        <v>3400</v>
      </c>
      <c r="O69" s="67" t="s">
        <v>233</v>
      </c>
      <c r="P69" s="50">
        <f t="shared" si="9"/>
        <v>2.4299065420560748E-2</v>
      </c>
      <c r="Q69" s="33">
        <f t="shared" si="10"/>
        <v>6.3551401869158877E-2</v>
      </c>
      <c r="R69" s="34">
        <f t="shared" si="2"/>
        <v>8.7850467289719625E-2</v>
      </c>
      <c r="S69" s="33">
        <f t="shared" si="5"/>
        <v>0.72340425531914898</v>
      </c>
      <c r="T69" s="16">
        <f t="shared" si="11"/>
        <v>12.02247191011236</v>
      </c>
      <c r="U69" s="16">
        <f t="shared" si="12"/>
        <v>0.48992673992673991</v>
      </c>
      <c r="V69" s="16">
        <f t="shared" si="6"/>
        <v>5.8901304687821545</v>
      </c>
      <c r="W69" s="17" t="s">
        <v>234</v>
      </c>
    </row>
    <row r="70" spans="3:23" s="39" customFormat="1" ht="27" thickBot="1">
      <c r="C70" s="169">
        <v>5976</v>
      </c>
      <c r="D70" s="166" t="s">
        <v>306</v>
      </c>
      <c r="E70" s="166" t="s">
        <v>137</v>
      </c>
      <c r="F70" s="167">
        <v>494</v>
      </c>
      <c r="G70" s="167">
        <v>100</v>
      </c>
      <c r="H70" s="167">
        <f>G70*F70</f>
        <v>49400</v>
      </c>
      <c r="I70" s="168">
        <f>(6.1+23.2+72.7)/3</f>
        <v>34</v>
      </c>
      <c r="J70" s="152">
        <f>M70/I70</f>
        <v>0</v>
      </c>
      <c r="K70" s="143"/>
      <c r="L70" s="143"/>
      <c r="M70" s="142"/>
      <c r="N70" s="144"/>
      <c r="O70" s="107"/>
      <c r="P70" s="132">
        <f t="shared" si="9"/>
        <v>0</v>
      </c>
      <c r="Q70" s="37">
        <f t="shared" si="10"/>
        <v>0</v>
      </c>
      <c r="R70" s="37">
        <f t="shared" si="2"/>
        <v>0</v>
      </c>
      <c r="S70" s="36" t="e">
        <f t="shared" si="5"/>
        <v>#DIV/0!</v>
      </c>
      <c r="T70" s="38" t="e">
        <f>F70/K70</f>
        <v>#DIV/0!</v>
      </c>
      <c r="U70" s="38" t="e">
        <f>F70/L70</f>
        <v>#DIV/0!</v>
      </c>
      <c r="V70" s="38" t="e">
        <f t="shared" si="6"/>
        <v>#DIV/0!</v>
      </c>
      <c r="W70" s="106" t="s">
        <v>272</v>
      </c>
    </row>
    <row r="71" spans="3:23" hidden="1">
      <c r="C71" s="66" t="s">
        <v>236</v>
      </c>
      <c r="D71" s="17" t="s">
        <v>237</v>
      </c>
      <c r="E71" s="17" t="s">
        <v>102</v>
      </c>
      <c r="F71" s="17">
        <v>1400</v>
      </c>
      <c r="G71" s="17">
        <v>100</v>
      </c>
      <c r="H71" s="30">
        <f t="shared" si="7"/>
        <v>140000</v>
      </c>
      <c r="I71" s="156">
        <f>(91.3+91+76.5)/3</f>
        <v>86.266666666666666</v>
      </c>
      <c r="J71" s="153">
        <f t="shared" si="8"/>
        <v>0.69551777434312212</v>
      </c>
      <c r="K71" s="53">
        <v>98.8</v>
      </c>
      <c r="L71" s="53">
        <v>348</v>
      </c>
      <c r="M71" s="51">
        <v>60</v>
      </c>
      <c r="N71" s="51">
        <v>1000</v>
      </c>
      <c r="O71" s="51" t="s">
        <v>47</v>
      </c>
      <c r="P71" s="33">
        <f t="shared" si="9"/>
        <v>4.2857142857142858E-2</v>
      </c>
      <c r="Q71" s="33">
        <f t="shared" si="10"/>
        <v>7.1428571428571426E-3</v>
      </c>
      <c r="R71" s="34">
        <f t="shared" si="2"/>
        <v>0.05</v>
      </c>
      <c r="S71" s="33">
        <f t="shared" si="5"/>
        <v>0.14285714285714285</v>
      </c>
      <c r="T71" s="16">
        <f t="shared" si="11"/>
        <v>14.17004048582996</v>
      </c>
      <c r="U71" s="16">
        <f t="shared" si="12"/>
        <v>4.0229885057471266</v>
      </c>
      <c r="V71" s="16">
        <f t="shared" si="6"/>
        <v>57.005910000465356</v>
      </c>
      <c r="W71" s="17" t="s">
        <v>238</v>
      </c>
    </row>
    <row r="72" spans="3:23" hidden="1">
      <c r="C72" s="66" t="s">
        <v>239</v>
      </c>
      <c r="D72" s="17" t="s">
        <v>240</v>
      </c>
      <c r="E72" s="17" t="s">
        <v>65</v>
      </c>
      <c r="F72" s="17">
        <v>570</v>
      </c>
      <c r="G72" s="17">
        <v>100</v>
      </c>
      <c r="H72" s="30">
        <f t="shared" si="7"/>
        <v>57000</v>
      </c>
      <c r="I72" s="156">
        <f>(43+36.8+18.2)/3</f>
        <v>32.666666666666664</v>
      </c>
      <c r="J72" s="151">
        <f t="shared" si="8"/>
        <v>0.39795918367346944</v>
      </c>
      <c r="K72" s="31">
        <v>30.3</v>
      </c>
      <c r="L72" s="31">
        <v>712.8</v>
      </c>
      <c r="M72" s="17">
        <v>13</v>
      </c>
      <c r="N72" s="17">
        <v>5500</v>
      </c>
      <c r="O72" s="17" t="s">
        <v>241</v>
      </c>
      <c r="P72" s="33">
        <f t="shared" si="9"/>
        <v>2.2807017543859651E-2</v>
      </c>
      <c r="Q72" s="33">
        <f t="shared" si="10"/>
        <v>9.6491228070175433E-2</v>
      </c>
      <c r="R72" s="34">
        <f t="shared" si="2"/>
        <v>0.11929824561403508</v>
      </c>
      <c r="S72" s="33">
        <f t="shared" si="5"/>
        <v>0.80882352941176472</v>
      </c>
      <c r="T72" s="16">
        <f t="shared" si="11"/>
        <v>18.811881188118811</v>
      </c>
      <c r="U72" s="16">
        <f t="shared" si="12"/>
        <v>0.79966329966329974</v>
      </c>
      <c r="V72" s="16">
        <f t="shared" si="6"/>
        <v>15.043170983765044</v>
      </c>
      <c r="W72" s="17" t="s">
        <v>242</v>
      </c>
    </row>
    <row r="73" spans="3:23" hidden="1">
      <c r="C73" s="66" t="s">
        <v>243</v>
      </c>
      <c r="D73" s="17" t="s">
        <v>244</v>
      </c>
      <c r="E73" s="17" t="s">
        <v>81</v>
      </c>
      <c r="F73" s="17">
        <v>1733</v>
      </c>
      <c r="G73" s="17">
        <v>300</v>
      </c>
      <c r="H73" s="30">
        <f t="shared" si="7"/>
        <v>519900</v>
      </c>
      <c r="I73" s="156">
        <f>(36+65.5+66.6)/3</f>
        <v>56.033333333333331</v>
      </c>
      <c r="J73" s="151">
        <f t="shared" si="8"/>
        <v>1.0707911957168352</v>
      </c>
      <c r="K73" s="31">
        <v>75.099999999999994</v>
      </c>
      <c r="L73" s="31">
        <v>1525</v>
      </c>
      <c r="M73" s="17">
        <v>60</v>
      </c>
      <c r="N73" s="17">
        <v>16000</v>
      </c>
      <c r="O73" s="17" t="s">
        <v>245</v>
      </c>
      <c r="P73" s="33">
        <f t="shared" si="9"/>
        <v>3.4622042700519329E-2</v>
      </c>
      <c r="Q73" s="33">
        <f t="shared" si="10"/>
        <v>3.0775149067128294E-2</v>
      </c>
      <c r="R73" s="34">
        <f t="shared" si="2"/>
        <v>6.5397191767647619E-2</v>
      </c>
      <c r="S73" s="33">
        <f t="shared" si="5"/>
        <v>0.4705882352941177</v>
      </c>
      <c r="T73" s="16">
        <f t="shared" si="11"/>
        <v>23.075898801597873</v>
      </c>
      <c r="U73" s="16">
        <f t="shared" si="12"/>
        <v>1.1363934426229507</v>
      </c>
      <c r="V73" s="16">
        <f t="shared" si="6"/>
        <v>26.223300080766631</v>
      </c>
      <c r="W73" s="17" t="s">
        <v>246</v>
      </c>
    </row>
    <row r="74" spans="3:23" ht="12" hidden="1" customHeight="1" thickBot="1">
      <c r="C74" s="160"/>
      <c r="D74" s="161"/>
      <c r="E74" s="161"/>
      <c r="F74" s="161"/>
      <c r="G74" s="161"/>
      <c r="H74" s="161"/>
      <c r="I74" s="162"/>
    </row>
    <row r="75" spans="3:23" ht="40.200000000000003" customHeight="1" thickBot="1">
      <c r="C75" s="180" t="s">
        <v>250</v>
      </c>
      <c r="D75" s="181" t="s">
        <v>31</v>
      </c>
      <c r="E75" s="181" t="s">
        <v>32</v>
      </c>
      <c r="F75" s="182" t="s">
        <v>33</v>
      </c>
      <c r="G75" s="182" t="s">
        <v>34</v>
      </c>
      <c r="H75" s="182" t="s">
        <v>35</v>
      </c>
      <c r="I75" s="183" t="s">
        <v>284</v>
      </c>
    </row>
    <row r="76" spans="3:23" ht="68.400000000000006" customHeight="1" thickBot="1">
      <c r="C76" s="188">
        <f>F76/I70</f>
        <v>0.29411764705882354</v>
      </c>
      <c r="D76" s="165">
        <v>2.4</v>
      </c>
      <c r="E76" s="165">
        <v>1345</v>
      </c>
      <c r="F76" s="165">
        <v>10</v>
      </c>
      <c r="G76" s="165">
        <v>1000</v>
      </c>
      <c r="H76" s="189" t="s">
        <v>308</v>
      </c>
      <c r="I76" s="187" t="s">
        <v>309</v>
      </c>
    </row>
    <row r="77" spans="3:23" ht="41.4" customHeight="1" thickBot="1">
      <c r="C77" s="174" t="s">
        <v>36</v>
      </c>
      <c r="D77" s="175" t="s">
        <v>37</v>
      </c>
      <c r="E77" s="176" t="s">
        <v>38</v>
      </c>
      <c r="F77" s="177" t="s">
        <v>39</v>
      </c>
      <c r="G77" s="178" t="s">
        <v>40</v>
      </c>
      <c r="H77" s="178" t="s">
        <v>41</v>
      </c>
      <c r="I77" s="179" t="s">
        <v>42</v>
      </c>
    </row>
    <row r="78" spans="3:23" ht="46.8" customHeight="1" thickBot="1">
      <c r="C78" s="170">
        <f>F76/F70</f>
        <v>2.0242914979757085E-2</v>
      </c>
      <c r="D78" s="171">
        <f>G76/(F70*G70)</f>
        <v>2.0242914979757085E-2</v>
      </c>
      <c r="E78" s="171">
        <f>((F76*G70)+G76)/(F70*G70)</f>
        <v>4.048582995951417E-2</v>
      </c>
      <c r="F78" s="171">
        <f>D78/E78</f>
        <v>0.5</v>
      </c>
      <c r="G78" s="172">
        <f>F70/D76</f>
        <v>205.83333333333334</v>
      </c>
      <c r="H78" s="172">
        <f>F70/E76</f>
        <v>0.36728624535315985</v>
      </c>
      <c r="I78" s="173">
        <f>H78*G78</f>
        <v>75.599752168525399</v>
      </c>
    </row>
    <row r="91" spans="24:24">
      <c r="X91" s="39" t="s">
        <v>293</v>
      </c>
    </row>
    <row r="194" spans="4:4">
      <c r="D194" t="s">
        <v>287</v>
      </c>
    </row>
    <row r="195" spans="4:4">
      <c r="D195" t="s">
        <v>286</v>
      </c>
    </row>
    <row r="267" spans="4:4">
      <c r="D267" t="s">
        <v>288</v>
      </c>
    </row>
    <row r="371" spans="3:3">
      <c r="C371" t="s">
        <v>289</v>
      </c>
    </row>
    <row r="408" spans="3:3">
      <c r="C408" t="s">
        <v>292</v>
      </c>
    </row>
    <row r="409" spans="3:3">
      <c r="C409" t="s">
        <v>291</v>
      </c>
    </row>
    <row r="411" spans="3:3">
      <c r="C411" t="s">
        <v>290</v>
      </c>
    </row>
  </sheetData>
  <phoneticPr fontId="4"/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B971-3F63-42DA-AF71-7AF20ADA1C18}">
  <dimension ref="B2:AC91"/>
  <sheetViews>
    <sheetView showGridLines="0" topLeftCell="B2" zoomScale="85" zoomScaleNormal="85" workbookViewId="0">
      <pane ySplit="9" topLeftCell="A11" activePane="bottomLeft" state="frozen"/>
      <selection activeCell="A2" sqref="A2"/>
      <selection pane="bottomLeft" activeCell="D70" sqref="D70"/>
    </sheetView>
  </sheetViews>
  <sheetFormatPr defaultRowHeight="18"/>
  <cols>
    <col min="1" max="1" width="0" hidden="1" customWidth="1"/>
    <col min="2" max="2" width="2.69921875" style="39" customWidth="1"/>
    <col min="3" max="3" width="8.69921875" customWidth="1"/>
    <col min="4" max="4" width="19.69921875" customWidth="1"/>
    <col min="5" max="5" width="10.69921875" hidden="1" customWidth="1"/>
    <col min="6" max="6" width="7.69921875" hidden="1" customWidth="1"/>
    <col min="7" max="7" width="8.09765625" hidden="1" customWidth="1"/>
    <col min="8" max="8" width="9.19921875" hidden="1" customWidth="1"/>
    <col min="9" max="9" width="8.8984375" style="1" hidden="1" customWidth="1"/>
    <col min="10" max="10" width="8.3984375" style="2" hidden="1" customWidth="1"/>
    <col min="11" max="11" width="9.59765625" style="1" hidden="1" customWidth="1"/>
    <col min="12" max="12" width="9.8984375" style="1" hidden="1" customWidth="1"/>
    <col min="13" max="13" width="7.09765625" hidden="1" customWidth="1"/>
    <col min="14" max="14" width="7.796875" hidden="1" customWidth="1"/>
    <col min="15" max="15" width="4.09765625" hidden="1" customWidth="1"/>
    <col min="16" max="16" width="9" style="3" customWidth="1"/>
    <col min="17" max="17" width="9.09765625" style="3" customWidth="1"/>
    <col min="18" max="18" width="10.09765625" style="4" bestFit="1" customWidth="1"/>
    <col min="19" max="19" width="10.796875" style="3" bestFit="1" customWidth="1"/>
    <col min="20" max="20" width="9.3984375" style="5" bestFit="1" customWidth="1"/>
    <col min="21" max="21" width="9.19921875" style="5" bestFit="1" customWidth="1"/>
    <col min="22" max="22" width="9.5" style="5" customWidth="1"/>
    <col min="23" max="23" width="21.59765625" style="5" customWidth="1"/>
  </cols>
  <sheetData>
    <row r="2" spans="2:23" hidden="1">
      <c r="C2" t="s">
        <v>0</v>
      </c>
    </row>
    <row r="3" spans="2:23" hidden="1">
      <c r="C3" t="s">
        <v>1</v>
      </c>
      <c r="L3" s="1" t="s">
        <v>2</v>
      </c>
    </row>
    <row r="4" spans="2:23" hidden="1">
      <c r="C4" t="s">
        <v>3</v>
      </c>
      <c r="H4" s="6"/>
      <c r="I4" s="1" t="s">
        <v>4</v>
      </c>
      <c r="L4" s="1" t="s">
        <v>5</v>
      </c>
    </row>
    <row r="5" spans="2:23" hidden="1">
      <c r="C5" t="s">
        <v>6</v>
      </c>
      <c r="H5" s="7"/>
      <c r="I5" s="1" t="s">
        <v>7</v>
      </c>
      <c r="L5" s="1" t="s">
        <v>8</v>
      </c>
      <c r="S5" s="3" t="s">
        <v>9</v>
      </c>
      <c r="V5" s="5" t="s">
        <v>10</v>
      </c>
    </row>
    <row r="6" spans="2:23" hidden="1">
      <c r="C6" t="s">
        <v>11</v>
      </c>
      <c r="H6" s="8"/>
      <c r="I6" s="1" t="s">
        <v>12</v>
      </c>
      <c r="L6" s="9" t="s">
        <v>13</v>
      </c>
      <c r="P6"/>
      <c r="S6" s="3" t="s">
        <v>14</v>
      </c>
      <c r="V6" s="5" t="s">
        <v>15</v>
      </c>
    </row>
    <row r="7" spans="2:23" hidden="1">
      <c r="C7" t="s">
        <v>16</v>
      </c>
      <c r="L7" s="9" t="s">
        <v>17</v>
      </c>
      <c r="S7" s="3" t="s">
        <v>18</v>
      </c>
      <c r="V7" t="s">
        <v>19</v>
      </c>
      <c r="W7"/>
    </row>
    <row r="8" spans="2:23" hidden="1">
      <c r="C8" t="s">
        <v>20</v>
      </c>
      <c r="L8" s="9" t="s">
        <v>21</v>
      </c>
      <c r="S8" s="3" t="s">
        <v>22</v>
      </c>
    </row>
    <row r="9" spans="2:23" ht="18.600000000000001" thickBot="1">
      <c r="L9" s="1" t="s">
        <v>23</v>
      </c>
      <c r="P9" t="s">
        <v>24</v>
      </c>
    </row>
    <row r="10" spans="2:23" s="45" customFormat="1" ht="51" customHeight="1">
      <c r="B10" s="39"/>
      <c r="C10" s="55" t="s">
        <v>25</v>
      </c>
      <c r="D10" s="56" t="s">
        <v>26</v>
      </c>
      <c r="E10" s="56" t="s">
        <v>27</v>
      </c>
      <c r="F10" s="57" t="s">
        <v>248</v>
      </c>
      <c r="G10" s="57" t="s">
        <v>28</v>
      </c>
      <c r="H10" s="57" t="s">
        <v>29</v>
      </c>
      <c r="I10" s="58" t="s">
        <v>30</v>
      </c>
      <c r="J10" s="59" t="s">
        <v>250</v>
      </c>
      <c r="K10" s="58" t="s">
        <v>31</v>
      </c>
      <c r="L10" s="58" t="s">
        <v>32</v>
      </c>
      <c r="M10" s="57" t="s">
        <v>33</v>
      </c>
      <c r="N10" s="57" t="s">
        <v>34</v>
      </c>
      <c r="O10" s="57" t="s">
        <v>35</v>
      </c>
      <c r="P10" s="76" t="s">
        <v>36</v>
      </c>
      <c r="Q10" s="76" t="s">
        <v>37</v>
      </c>
      <c r="R10" s="77" t="s">
        <v>38</v>
      </c>
      <c r="S10" s="78" t="s">
        <v>39</v>
      </c>
      <c r="T10" s="79" t="s">
        <v>40</v>
      </c>
      <c r="U10" s="79" t="s">
        <v>41</v>
      </c>
      <c r="V10" s="100" t="s">
        <v>42</v>
      </c>
      <c r="W10" s="60" t="s">
        <v>274</v>
      </c>
    </row>
    <row r="11" spans="2:23" hidden="1">
      <c r="C11" s="61" t="s">
        <v>44</v>
      </c>
      <c r="D11" s="11" t="s">
        <v>45</v>
      </c>
      <c r="E11" s="11" t="s">
        <v>46</v>
      </c>
      <c r="F11" s="11">
        <v>619</v>
      </c>
      <c r="G11" s="11">
        <v>100</v>
      </c>
      <c r="H11" s="10">
        <f>G11*F11</f>
        <v>61900</v>
      </c>
      <c r="I11" s="12">
        <f>(95.7+117.6+112.8)/3</f>
        <v>108.7</v>
      </c>
      <c r="J11" s="13">
        <f>M11/I11</f>
        <v>0.18399264029438822</v>
      </c>
      <c r="K11" s="12">
        <v>66.7</v>
      </c>
      <c r="L11" s="12">
        <v>407.2</v>
      </c>
      <c r="M11" s="11">
        <v>20</v>
      </c>
      <c r="N11" s="11">
        <v>1000</v>
      </c>
      <c r="O11" s="11" t="s">
        <v>47</v>
      </c>
      <c r="P11" s="14">
        <f t="shared" ref="P11:P56" si="0">M11/F11</f>
        <v>3.2310177705977383E-2</v>
      </c>
      <c r="Q11" s="14">
        <f t="shared" ref="Q11:Q56" si="1">N11/(F11*G11)</f>
        <v>1.6155088852988692E-2</v>
      </c>
      <c r="R11" s="15">
        <f t="shared" ref="R11:R73" si="2">((M11*G11)+N11)/(F11*G11)</f>
        <v>4.8465266558966075E-2</v>
      </c>
      <c r="S11" s="14">
        <f>Q11/R11</f>
        <v>0.33333333333333331</v>
      </c>
      <c r="T11" s="16">
        <f t="shared" ref="T11:T56" si="3">F11/K11</f>
        <v>9.280359820089954</v>
      </c>
      <c r="U11" s="16">
        <f t="shared" ref="U11:U56" si="4">F11/L11</f>
        <v>1.5201375245579569</v>
      </c>
      <c r="V11" s="101">
        <f>T11*U11</f>
        <v>14.107423203918669</v>
      </c>
      <c r="W11" s="67" t="s">
        <v>48</v>
      </c>
    </row>
    <row r="12" spans="2:23" hidden="1">
      <c r="C12" s="61" t="s">
        <v>49</v>
      </c>
      <c r="D12" s="11"/>
      <c r="E12" s="11"/>
      <c r="F12" s="11"/>
      <c r="G12" s="11"/>
      <c r="H12" s="10"/>
      <c r="I12" s="12"/>
      <c r="J12" s="13"/>
      <c r="K12" s="12"/>
      <c r="L12" s="12"/>
      <c r="M12" s="11"/>
      <c r="N12" s="11"/>
      <c r="O12" s="11"/>
      <c r="P12" s="14" t="e">
        <f t="shared" si="0"/>
        <v>#DIV/0!</v>
      </c>
      <c r="Q12" s="14" t="e">
        <f t="shared" si="1"/>
        <v>#DIV/0!</v>
      </c>
      <c r="R12" s="15" t="e">
        <f t="shared" si="2"/>
        <v>#DIV/0!</v>
      </c>
      <c r="S12" s="14" t="e">
        <f t="shared" ref="S12:S73" si="5">Q12/R12</f>
        <v>#DIV/0!</v>
      </c>
      <c r="T12" s="16" t="e">
        <f t="shared" si="3"/>
        <v>#DIV/0!</v>
      </c>
      <c r="U12" s="16" t="e">
        <f t="shared" si="4"/>
        <v>#DIV/0!</v>
      </c>
      <c r="V12" s="101" t="e">
        <f t="shared" ref="V12:V73" si="6">T12*U12</f>
        <v>#DIV/0!</v>
      </c>
      <c r="W12" s="67" t="s">
        <v>50</v>
      </c>
    </row>
    <row r="13" spans="2:23" hidden="1">
      <c r="C13" s="61" t="s">
        <v>51</v>
      </c>
      <c r="D13" s="11"/>
      <c r="E13" s="11"/>
      <c r="F13" s="11"/>
      <c r="G13" s="11"/>
      <c r="H13" s="10">
        <f t="shared" ref="H13:H73" si="7">G13*F13</f>
        <v>0</v>
      </c>
      <c r="I13" s="12"/>
      <c r="J13" s="13"/>
      <c r="K13" s="12"/>
      <c r="L13" s="12"/>
      <c r="M13" s="11">
        <v>63</v>
      </c>
      <c r="N13" s="11">
        <f>440*5</f>
        <v>2200</v>
      </c>
      <c r="O13" s="11" t="s">
        <v>52</v>
      </c>
      <c r="P13" s="14" t="e">
        <f t="shared" si="0"/>
        <v>#DIV/0!</v>
      </c>
      <c r="Q13" s="14" t="e">
        <f t="shared" si="1"/>
        <v>#DIV/0!</v>
      </c>
      <c r="R13" s="15" t="e">
        <f t="shared" si="2"/>
        <v>#DIV/0!</v>
      </c>
      <c r="S13" s="14" t="e">
        <f t="shared" si="5"/>
        <v>#DIV/0!</v>
      </c>
      <c r="T13" s="16" t="e">
        <f t="shared" si="3"/>
        <v>#DIV/0!</v>
      </c>
      <c r="U13" s="16" t="e">
        <f t="shared" si="4"/>
        <v>#DIV/0!</v>
      </c>
      <c r="V13" s="101" t="e">
        <f t="shared" si="6"/>
        <v>#DIV/0!</v>
      </c>
      <c r="W13" s="67" t="s">
        <v>53</v>
      </c>
    </row>
    <row r="14" spans="2:23" hidden="1">
      <c r="C14" s="61" t="s">
        <v>54</v>
      </c>
      <c r="D14" s="11"/>
      <c r="E14" s="11"/>
      <c r="F14" s="11"/>
      <c r="G14" s="11"/>
      <c r="H14" s="10">
        <f t="shared" si="7"/>
        <v>0</v>
      </c>
      <c r="I14" s="12"/>
      <c r="J14" s="13"/>
      <c r="K14" s="12"/>
      <c r="L14" s="12"/>
      <c r="M14" s="11"/>
      <c r="N14" s="11"/>
      <c r="O14" s="11"/>
      <c r="P14" s="14" t="e">
        <f t="shared" si="0"/>
        <v>#DIV/0!</v>
      </c>
      <c r="Q14" s="14" t="e">
        <f t="shared" si="1"/>
        <v>#DIV/0!</v>
      </c>
      <c r="R14" s="15" t="e">
        <f t="shared" si="2"/>
        <v>#DIV/0!</v>
      </c>
      <c r="S14" s="14" t="e">
        <f t="shared" si="5"/>
        <v>#DIV/0!</v>
      </c>
      <c r="T14" s="16" t="e">
        <f t="shared" si="3"/>
        <v>#DIV/0!</v>
      </c>
      <c r="U14" s="16" t="e">
        <f t="shared" si="4"/>
        <v>#DIV/0!</v>
      </c>
      <c r="V14" s="101" t="e">
        <f t="shared" si="6"/>
        <v>#DIV/0!</v>
      </c>
      <c r="W14" s="67"/>
    </row>
    <row r="15" spans="2:23" hidden="1">
      <c r="C15" s="61" t="s">
        <v>55</v>
      </c>
      <c r="D15" s="11"/>
      <c r="E15" s="11"/>
      <c r="F15" s="11"/>
      <c r="G15" s="11"/>
      <c r="H15" s="10">
        <f t="shared" si="7"/>
        <v>0</v>
      </c>
      <c r="I15" s="12"/>
      <c r="J15" s="13"/>
      <c r="K15" s="12"/>
      <c r="L15" s="12"/>
      <c r="M15" s="11"/>
      <c r="N15" s="11"/>
      <c r="O15" s="11"/>
      <c r="P15" s="14" t="e">
        <f t="shared" si="0"/>
        <v>#DIV/0!</v>
      </c>
      <c r="Q15" s="14" t="e">
        <f t="shared" si="1"/>
        <v>#DIV/0!</v>
      </c>
      <c r="R15" s="15" t="e">
        <f t="shared" si="2"/>
        <v>#DIV/0!</v>
      </c>
      <c r="S15" s="14" t="e">
        <f t="shared" si="5"/>
        <v>#DIV/0!</v>
      </c>
      <c r="T15" s="16" t="e">
        <f t="shared" si="3"/>
        <v>#DIV/0!</v>
      </c>
      <c r="U15" s="16" t="e">
        <f t="shared" si="4"/>
        <v>#DIV/0!</v>
      </c>
      <c r="V15" s="101" t="e">
        <f t="shared" si="6"/>
        <v>#DIV/0!</v>
      </c>
      <c r="W15" s="67"/>
    </row>
    <row r="16" spans="2:23" hidden="1">
      <c r="C16" s="61" t="s">
        <v>56</v>
      </c>
      <c r="D16" s="11"/>
      <c r="E16" s="11"/>
      <c r="F16" s="11"/>
      <c r="G16" s="11"/>
      <c r="H16" s="10">
        <f t="shared" si="7"/>
        <v>0</v>
      </c>
      <c r="I16" s="12"/>
      <c r="J16" s="13"/>
      <c r="K16" s="12"/>
      <c r="L16" s="12"/>
      <c r="M16" s="11"/>
      <c r="N16" s="11"/>
      <c r="O16" s="11"/>
      <c r="P16" s="14" t="e">
        <f t="shared" si="0"/>
        <v>#DIV/0!</v>
      </c>
      <c r="Q16" s="14" t="e">
        <f t="shared" si="1"/>
        <v>#DIV/0!</v>
      </c>
      <c r="R16" s="15" t="e">
        <f t="shared" si="2"/>
        <v>#DIV/0!</v>
      </c>
      <c r="S16" s="14" t="e">
        <f t="shared" si="5"/>
        <v>#DIV/0!</v>
      </c>
      <c r="T16" s="16" t="e">
        <f t="shared" si="3"/>
        <v>#DIV/0!</v>
      </c>
      <c r="U16" s="16" t="e">
        <f t="shared" si="4"/>
        <v>#DIV/0!</v>
      </c>
      <c r="V16" s="101" t="e">
        <f t="shared" si="6"/>
        <v>#DIV/0!</v>
      </c>
      <c r="W16" s="67"/>
    </row>
    <row r="17" spans="2:28" hidden="1">
      <c r="C17" s="61" t="s">
        <v>57</v>
      </c>
      <c r="D17" s="11"/>
      <c r="E17" s="11"/>
      <c r="F17" s="11"/>
      <c r="G17" s="11"/>
      <c r="H17" s="10">
        <f t="shared" si="7"/>
        <v>0</v>
      </c>
      <c r="I17" s="12"/>
      <c r="J17" s="13"/>
      <c r="K17" s="12"/>
      <c r="L17" s="12"/>
      <c r="M17" s="11"/>
      <c r="N17" s="11"/>
      <c r="O17" s="11"/>
      <c r="P17" s="14" t="e">
        <f t="shared" si="0"/>
        <v>#DIV/0!</v>
      </c>
      <c r="Q17" s="14" t="e">
        <f t="shared" si="1"/>
        <v>#DIV/0!</v>
      </c>
      <c r="R17" s="15" t="e">
        <f t="shared" si="2"/>
        <v>#DIV/0!</v>
      </c>
      <c r="S17" s="14" t="e">
        <f t="shared" si="5"/>
        <v>#DIV/0!</v>
      </c>
      <c r="T17" s="16" t="e">
        <f t="shared" si="3"/>
        <v>#DIV/0!</v>
      </c>
      <c r="U17" s="16" t="e">
        <f t="shared" si="4"/>
        <v>#DIV/0!</v>
      </c>
      <c r="V17" s="101" t="e">
        <f t="shared" si="6"/>
        <v>#DIV/0!</v>
      </c>
      <c r="W17" s="67"/>
    </row>
    <row r="18" spans="2:28" hidden="1">
      <c r="C18" s="61" t="s">
        <v>58</v>
      </c>
      <c r="D18" s="11" t="s">
        <v>59</v>
      </c>
      <c r="E18" s="11" t="s">
        <v>60</v>
      </c>
      <c r="F18" s="11">
        <v>981</v>
      </c>
      <c r="G18" s="11">
        <v>100</v>
      </c>
      <c r="H18" s="10">
        <f t="shared" si="7"/>
        <v>98100</v>
      </c>
      <c r="I18" s="12">
        <f>(119.5+133.4+132.4)/3</f>
        <v>128.43333333333334</v>
      </c>
      <c r="J18" s="13">
        <f t="shared" ref="J18:J73" si="8">M18/I18</f>
        <v>0.29587334544510768</v>
      </c>
      <c r="K18" s="12">
        <v>146.19999999999999</v>
      </c>
      <c r="L18" s="12">
        <v>1405</v>
      </c>
      <c r="M18" s="11">
        <v>38</v>
      </c>
      <c r="N18" s="11">
        <v>1000</v>
      </c>
      <c r="O18" s="11" t="s">
        <v>47</v>
      </c>
      <c r="P18" s="14">
        <f t="shared" si="0"/>
        <v>3.8735983690112129E-2</v>
      </c>
      <c r="Q18" s="14">
        <f t="shared" si="1"/>
        <v>1.0193679918450561E-2</v>
      </c>
      <c r="R18" s="15">
        <f t="shared" si="2"/>
        <v>4.8929663608562692E-2</v>
      </c>
      <c r="S18" s="14">
        <f t="shared" si="5"/>
        <v>0.20833333333333334</v>
      </c>
      <c r="T18" s="16">
        <f t="shared" si="3"/>
        <v>6.7099863201094401</v>
      </c>
      <c r="U18" s="16">
        <f t="shared" si="4"/>
        <v>0.69822064056939503</v>
      </c>
      <c r="V18" s="102">
        <f t="shared" si="6"/>
        <v>4.6850509466386914</v>
      </c>
      <c r="W18" s="67" t="s">
        <v>61</v>
      </c>
      <c r="AB18" t="s">
        <v>62</v>
      </c>
    </row>
    <row r="19" spans="2:28" hidden="1">
      <c r="C19" s="61" t="s">
        <v>63</v>
      </c>
      <c r="D19" s="11" t="s">
        <v>64</v>
      </c>
      <c r="E19" s="11" t="s">
        <v>65</v>
      </c>
      <c r="F19" s="11">
        <v>1259</v>
      </c>
      <c r="G19" s="11">
        <v>100</v>
      </c>
      <c r="H19" s="10">
        <f t="shared" si="7"/>
        <v>125900</v>
      </c>
      <c r="I19" s="12">
        <f>(74.3+93.7+79.1)/3</f>
        <v>82.36666666666666</v>
      </c>
      <c r="J19" s="13">
        <f t="shared" si="8"/>
        <v>0.24281667341157429</v>
      </c>
      <c r="K19" s="12">
        <v>87.5</v>
      </c>
      <c r="L19" s="12">
        <v>761.1</v>
      </c>
      <c r="M19" s="11">
        <v>20</v>
      </c>
      <c r="N19" s="11">
        <v>5000</v>
      </c>
      <c r="O19" s="11" t="s">
        <v>66</v>
      </c>
      <c r="P19" s="14">
        <f t="shared" si="0"/>
        <v>1.5885623510722795E-2</v>
      </c>
      <c r="Q19" s="14">
        <f t="shared" si="1"/>
        <v>3.971405877680699E-2</v>
      </c>
      <c r="R19" s="15">
        <f t="shared" si="2"/>
        <v>5.5599682287529782E-2</v>
      </c>
      <c r="S19" s="14">
        <f t="shared" si="5"/>
        <v>0.7142857142857143</v>
      </c>
      <c r="T19" s="16">
        <f t="shared" si="3"/>
        <v>14.388571428571428</v>
      </c>
      <c r="U19" s="16">
        <f t="shared" si="4"/>
        <v>1.6541847326238339</v>
      </c>
      <c r="V19" s="101">
        <f t="shared" si="6"/>
        <v>23.801355181410365</v>
      </c>
      <c r="W19" s="67" t="s">
        <v>67</v>
      </c>
      <c r="AB19" t="s">
        <v>68</v>
      </c>
    </row>
    <row r="20" spans="2:28" hidden="1">
      <c r="C20" s="61" t="s">
        <v>69</v>
      </c>
      <c r="D20" s="11" t="s">
        <v>70</v>
      </c>
      <c r="E20" s="11" t="s">
        <v>65</v>
      </c>
      <c r="F20" s="11">
        <v>85</v>
      </c>
      <c r="G20" s="11">
        <v>100</v>
      </c>
      <c r="H20" s="10">
        <f t="shared" si="7"/>
        <v>8500</v>
      </c>
      <c r="I20" s="12">
        <f>(3.2+0.6-4.4)/3</f>
        <v>-0.20000000000000004</v>
      </c>
      <c r="J20" s="13">
        <f t="shared" si="8"/>
        <v>0</v>
      </c>
      <c r="K20" s="12">
        <v>2.2000000000000002</v>
      </c>
      <c r="L20" s="12">
        <v>61.9</v>
      </c>
      <c r="M20" s="11">
        <v>0</v>
      </c>
      <c r="N20" s="11">
        <v>1000</v>
      </c>
      <c r="O20" s="11" t="s">
        <v>71</v>
      </c>
      <c r="P20" s="14">
        <f t="shared" si="0"/>
        <v>0</v>
      </c>
      <c r="Q20" s="14">
        <f t="shared" si="1"/>
        <v>0.11764705882352941</v>
      </c>
      <c r="R20" s="15">
        <f t="shared" si="2"/>
        <v>0.11764705882352941</v>
      </c>
      <c r="S20" s="14">
        <f t="shared" si="5"/>
        <v>1</v>
      </c>
      <c r="T20" s="16">
        <f t="shared" si="3"/>
        <v>38.636363636363633</v>
      </c>
      <c r="U20" s="16">
        <f t="shared" si="4"/>
        <v>1.3731825525040389</v>
      </c>
      <c r="V20" s="101">
        <f t="shared" si="6"/>
        <v>53.054780437656042</v>
      </c>
      <c r="W20" s="67" t="s">
        <v>72</v>
      </c>
    </row>
    <row r="21" spans="2:28" hidden="1">
      <c r="C21" s="61" t="s">
        <v>73</v>
      </c>
      <c r="D21" s="11" t="s">
        <v>74</v>
      </c>
      <c r="E21" s="11" t="s">
        <v>65</v>
      </c>
      <c r="F21" s="11">
        <v>639</v>
      </c>
      <c r="G21" s="11">
        <v>100</v>
      </c>
      <c r="H21" s="10">
        <f t="shared" si="7"/>
        <v>63900</v>
      </c>
      <c r="I21" s="12">
        <f>(-88.7-72+44)/3</f>
        <v>-38.9</v>
      </c>
      <c r="J21" s="13">
        <f t="shared" si="8"/>
        <v>-0.17994858611825193</v>
      </c>
      <c r="K21" s="12">
        <v>10.6</v>
      </c>
      <c r="L21" s="12">
        <v>416.4</v>
      </c>
      <c r="M21" s="11">
        <v>7</v>
      </c>
      <c r="N21" s="11">
        <f>440*4</f>
        <v>1760</v>
      </c>
      <c r="O21" s="11" t="s">
        <v>75</v>
      </c>
      <c r="P21" s="14">
        <f t="shared" si="0"/>
        <v>1.0954616588419406E-2</v>
      </c>
      <c r="Q21" s="14">
        <f t="shared" si="1"/>
        <v>2.7543035993740219E-2</v>
      </c>
      <c r="R21" s="15">
        <f t="shared" si="2"/>
        <v>3.8497652582159626E-2</v>
      </c>
      <c r="S21" s="14">
        <f t="shared" si="5"/>
        <v>0.71544715447154472</v>
      </c>
      <c r="T21" s="16">
        <f t="shared" si="3"/>
        <v>60.283018867924532</v>
      </c>
      <c r="U21" s="16">
        <f t="shared" si="4"/>
        <v>1.5345821325648417</v>
      </c>
      <c r="V21" s="101">
        <f t="shared" si="6"/>
        <v>92.509243651786221</v>
      </c>
      <c r="W21" s="67" t="s">
        <v>76</v>
      </c>
    </row>
    <row r="22" spans="2:28" hidden="1">
      <c r="C22" s="61" t="s">
        <v>77</v>
      </c>
      <c r="D22" s="11" t="s">
        <v>78</v>
      </c>
      <c r="E22" s="11" t="s">
        <v>60</v>
      </c>
      <c r="F22" s="11">
        <v>470</v>
      </c>
      <c r="G22" s="11">
        <v>100</v>
      </c>
      <c r="H22" s="10">
        <f t="shared" si="7"/>
        <v>47000</v>
      </c>
      <c r="I22" s="12">
        <f>(72.3+32.3-16.2)/3</f>
        <v>29.466666666666665</v>
      </c>
      <c r="J22" s="13">
        <f t="shared" si="8"/>
        <v>0.50904977375565619</v>
      </c>
      <c r="K22" s="12">
        <v>17.7</v>
      </c>
      <c r="L22" s="12">
        <v>518.79999999999995</v>
      </c>
      <c r="M22" s="11">
        <v>15</v>
      </c>
      <c r="N22" s="11">
        <v>500</v>
      </c>
      <c r="O22" s="11" t="s">
        <v>47</v>
      </c>
      <c r="P22" s="14">
        <f t="shared" si="0"/>
        <v>3.1914893617021274E-2</v>
      </c>
      <c r="Q22" s="14">
        <f t="shared" si="1"/>
        <v>1.0638297872340425E-2</v>
      </c>
      <c r="R22" s="15">
        <f t="shared" si="2"/>
        <v>4.2553191489361701E-2</v>
      </c>
      <c r="S22" s="14">
        <f t="shared" si="5"/>
        <v>0.25</v>
      </c>
      <c r="T22" s="16">
        <f t="shared" si="3"/>
        <v>26.553672316384183</v>
      </c>
      <c r="U22" s="16">
        <f t="shared" si="4"/>
        <v>0.90593677717810339</v>
      </c>
      <c r="V22" s="101">
        <f t="shared" si="6"/>
        <v>24.055948320548509</v>
      </c>
      <c r="W22" s="67" t="s">
        <v>79</v>
      </c>
    </row>
    <row r="23" spans="2:28" s="19" customFormat="1" ht="48.6" hidden="1" customHeight="1">
      <c r="B23" s="72"/>
      <c r="C23" s="63">
        <v>3189</v>
      </c>
      <c r="D23" s="20" t="s">
        <v>80</v>
      </c>
      <c r="E23" s="20" t="s">
        <v>81</v>
      </c>
      <c r="F23" s="20">
        <v>574</v>
      </c>
      <c r="G23" s="20">
        <v>100</v>
      </c>
      <c r="H23" s="21">
        <f t="shared" si="7"/>
        <v>57400</v>
      </c>
      <c r="I23" s="22">
        <f>(44.89+58.5+14.4)/3</f>
        <v>39.263333333333335</v>
      </c>
      <c r="J23" s="23">
        <f t="shared" si="8"/>
        <v>0.15281433058833516</v>
      </c>
      <c r="K23" s="22">
        <v>27.7</v>
      </c>
      <c r="L23" s="22">
        <f>388.1</f>
        <v>388.1</v>
      </c>
      <c r="M23" s="20">
        <v>6</v>
      </c>
      <c r="N23" s="20">
        <v>3000</v>
      </c>
      <c r="O23" s="24" t="s">
        <v>82</v>
      </c>
      <c r="P23" s="25">
        <f t="shared" si="0"/>
        <v>1.0452961672473868E-2</v>
      </c>
      <c r="Q23" s="25">
        <f t="shared" si="1"/>
        <v>5.2264808362369339E-2</v>
      </c>
      <c r="R23" s="26">
        <f t="shared" si="2"/>
        <v>6.2717770034843204E-2</v>
      </c>
      <c r="S23" s="25">
        <f t="shared" si="5"/>
        <v>0.83333333333333337</v>
      </c>
      <c r="T23" s="27">
        <f t="shared" si="3"/>
        <v>20.722021660649819</v>
      </c>
      <c r="U23" s="27">
        <f t="shared" si="4"/>
        <v>1.4790002576655501</v>
      </c>
      <c r="V23" s="103">
        <f t="shared" si="6"/>
        <v>30.647875375452191</v>
      </c>
      <c r="W23" s="105" t="s">
        <v>83</v>
      </c>
    </row>
    <row r="24" spans="2:28" ht="26.4" hidden="1">
      <c r="C24" s="63" t="s">
        <v>84</v>
      </c>
      <c r="D24" s="20" t="s">
        <v>85</v>
      </c>
      <c r="E24" s="20" t="s">
        <v>46</v>
      </c>
      <c r="F24" s="20">
        <v>1619</v>
      </c>
      <c r="G24" s="20">
        <v>300</v>
      </c>
      <c r="H24" s="21">
        <f t="shared" si="7"/>
        <v>485700</v>
      </c>
      <c r="I24" s="22">
        <f>(366.8+109.6+149.3)/3</f>
        <v>208.56666666666669</v>
      </c>
      <c r="J24" s="23">
        <f t="shared" si="8"/>
        <v>0.26370465079111394</v>
      </c>
      <c r="K24" s="22">
        <v>180.5</v>
      </c>
      <c r="L24" s="22">
        <v>1161</v>
      </c>
      <c r="M24" s="20">
        <v>55</v>
      </c>
      <c r="N24" s="20">
        <f>3000*2</f>
        <v>6000</v>
      </c>
      <c r="O24" s="20" t="s">
        <v>86</v>
      </c>
      <c r="P24" s="25">
        <f t="shared" si="0"/>
        <v>3.3971587399629403E-2</v>
      </c>
      <c r="Q24" s="25">
        <f t="shared" si="1"/>
        <v>1.2353304508956145E-2</v>
      </c>
      <c r="R24" s="26">
        <f t="shared" si="2"/>
        <v>4.6324891908585547E-2</v>
      </c>
      <c r="S24" s="25">
        <f t="shared" si="5"/>
        <v>0.26666666666666666</v>
      </c>
      <c r="T24" s="29">
        <f t="shared" si="3"/>
        <v>8.9695290858725762</v>
      </c>
      <c r="U24" s="29">
        <f t="shared" si="4"/>
        <v>1.3944875107665806</v>
      </c>
      <c r="V24" s="104">
        <f t="shared" si="6"/>
        <v>12.507896287706892</v>
      </c>
      <c r="W24" s="67" t="s">
        <v>87</v>
      </c>
    </row>
    <row r="25" spans="2:28" ht="26.4" hidden="1">
      <c r="C25" s="63" t="s">
        <v>88</v>
      </c>
      <c r="D25" s="20" t="s">
        <v>89</v>
      </c>
      <c r="E25" s="20" t="s">
        <v>46</v>
      </c>
      <c r="F25" s="20">
        <v>1957</v>
      </c>
      <c r="G25" s="20">
        <v>100</v>
      </c>
      <c r="H25" s="21">
        <f t="shared" si="7"/>
        <v>195700</v>
      </c>
      <c r="I25" s="22">
        <f>(266.1+244.2+227)/3</f>
        <v>245.76666666666665</v>
      </c>
      <c r="J25" s="23">
        <f t="shared" si="8"/>
        <v>0.25227180252271802</v>
      </c>
      <c r="K25" s="22">
        <v>227.1</v>
      </c>
      <c r="L25" s="22">
        <v>2699</v>
      </c>
      <c r="M25" s="20">
        <v>62</v>
      </c>
      <c r="N25" s="20">
        <f>2900*2+1430*2</f>
        <v>8660</v>
      </c>
      <c r="O25" s="20" t="s">
        <v>90</v>
      </c>
      <c r="P25" s="25">
        <f t="shared" si="0"/>
        <v>3.1681144609095553E-2</v>
      </c>
      <c r="Q25" s="25">
        <f t="shared" si="1"/>
        <v>4.4251405212059274E-2</v>
      </c>
      <c r="R25" s="26">
        <f t="shared" si="2"/>
        <v>7.5932549821154827E-2</v>
      </c>
      <c r="S25" s="25">
        <f t="shared" si="5"/>
        <v>0.58277254374158816</v>
      </c>
      <c r="T25" s="29">
        <f t="shared" si="3"/>
        <v>8.6173491853808901</v>
      </c>
      <c r="U25" s="29">
        <f t="shared" si="4"/>
        <v>0.72508336420896624</v>
      </c>
      <c r="V25" s="104">
        <f t="shared" si="6"/>
        <v>6.2482965378993702</v>
      </c>
      <c r="W25" s="67" t="s">
        <v>91</v>
      </c>
    </row>
    <row r="26" spans="2:28" hidden="1">
      <c r="C26" s="66" t="s">
        <v>92</v>
      </c>
      <c r="D26" s="17" t="s">
        <v>93</v>
      </c>
      <c r="E26" s="17" t="s">
        <v>46</v>
      </c>
      <c r="F26" s="17">
        <v>808</v>
      </c>
      <c r="G26" s="17">
        <v>100</v>
      </c>
      <c r="H26" s="30">
        <f t="shared" si="7"/>
        <v>80800</v>
      </c>
      <c r="I26" s="31">
        <f>(121.4+175.6+137.8)/3</f>
        <v>144.93333333333334</v>
      </c>
      <c r="J26" s="32">
        <f t="shared" si="8"/>
        <v>0.20699172033118673</v>
      </c>
      <c r="K26" s="31">
        <v>80.599999999999994</v>
      </c>
      <c r="L26" s="31">
        <v>934.5</v>
      </c>
      <c r="M26" s="17">
        <v>30</v>
      </c>
      <c r="N26" s="17">
        <v>1000</v>
      </c>
      <c r="O26" s="17" t="s">
        <v>47</v>
      </c>
      <c r="P26" s="33">
        <f t="shared" si="0"/>
        <v>3.7128712871287127E-2</v>
      </c>
      <c r="Q26" s="33">
        <f t="shared" si="1"/>
        <v>1.2376237623762377E-2</v>
      </c>
      <c r="R26" s="34">
        <f t="shared" si="2"/>
        <v>4.9504950495049507E-2</v>
      </c>
      <c r="S26" s="33">
        <f t="shared" si="5"/>
        <v>0.25</v>
      </c>
      <c r="T26" s="16">
        <f t="shared" si="3"/>
        <v>10.024813895781639</v>
      </c>
      <c r="U26" s="16">
        <f t="shared" si="4"/>
        <v>0.86463349384697696</v>
      </c>
      <c r="V26" s="101">
        <f t="shared" si="6"/>
        <v>8.6677898638754023</v>
      </c>
      <c r="W26" s="67" t="s">
        <v>94</v>
      </c>
    </row>
    <row r="27" spans="2:28" hidden="1">
      <c r="C27" s="66" t="s">
        <v>95</v>
      </c>
      <c r="D27" s="17" t="s">
        <v>96</v>
      </c>
      <c r="E27" s="17" t="s">
        <v>97</v>
      </c>
      <c r="F27" s="17">
        <v>2082</v>
      </c>
      <c r="G27" s="17">
        <v>100</v>
      </c>
      <c r="H27" s="30">
        <f t="shared" si="7"/>
        <v>208200</v>
      </c>
      <c r="I27" s="31">
        <f>(115.7+86.7+136.7)/3</f>
        <v>113.03333333333335</v>
      </c>
      <c r="J27" s="32">
        <f t="shared" si="8"/>
        <v>8.846947803007961E-2</v>
      </c>
      <c r="K27" s="31">
        <v>115.7</v>
      </c>
      <c r="L27" s="31">
        <v>707.7</v>
      </c>
      <c r="M27" s="17">
        <v>10</v>
      </c>
      <c r="N27" s="17">
        <v>11000</v>
      </c>
      <c r="O27" s="17" t="s">
        <v>98</v>
      </c>
      <c r="P27" s="33">
        <f t="shared" si="0"/>
        <v>4.8030739673390974E-3</v>
      </c>
      <c r="Q27" s="33">
        <f t="shared" si="1"/>
        <v>5.2833813640730067E-2</v>
      </c>
      <c r="R27" s="34">
        <f t="shared" si="2"/>
        <v>5.7636887608069162E-2</v>
      </c>
      <c r="S27" s="33">
        <f t="shared" si="5"/>
        <v>0.91666666666666674</v>
      </c>
      <c r="T27" s="16">
        <f t="shared" si="3"/>
        <v>17.994814174589454</v>
      </c>
      <c r="U27" s="16">
        <f t="shared" si="4"/>
        <v>2.9419245442984314</v>
      </c>
      <c r="V27" s="101">
        <f t="shared" si="6"/>
        <v>52.939385490314031</v>
      </c>
      <c r="W27" s="67" t="s">
        <v>99</v>
      </c>
    </row>
    <row r="28" spans="2:28" hidden="1">
      <c r="C28" s="66" t="s">
        <v>100</v>
      </c>
      <c r="D28" s="17" t="s">
        <v>101</v>
      </c>
      <c r="E28" s="17" t="s">
        <v>102</v>
      </c>
      <c r="F28" s="17">
        <v>1023</v>
      </c>
      <c r="G28" s="17">
        <v>100</v>
      </c>
      <c r="H28" s="30">
        <f t="shared" si="7"/>
        <v>102300</v>
      </c>
      <c r="I28" s="31">
        <f>(76.9+24.7+36.1)/3</f>
        <v>45.900000000000006</v>
      </c>
      <c r="J28" s="32">
        <f t="shared" si="8"/>
        <v>0.65359477124182996</v>
      </c>
      <c r="K28" s="31">
        <v>31.6</v>
      </c>
      <c r="L28" s="31">
        <v>542.20000000000005</v>
      </c>
      <c r="M28" s="17">
        <v>30</v>
      </c>
      <c r="N28" s="17">
        <v>3000</v>
      </c>
      <c r="O28" s="17" t="s">
        <v>47</v>
      </c>
      <c r="P28" s="33">
        <f t="shared" si="0"/>
        <v>2.932551319648094E-2</v>
      </c>
      <c r="Q28" s="33">
        <f t="shared" si="1"/>
        <v>2.932551319648094E-2</v>
      </c>
      <c r="R28" s="34">
        <f t="shared" si="2"/>
        <v>5.865102639296188E-2</v>
      </c>
      <c r="S28" s="33">
        <f t="shared" si="5"/>
        <v>0.5</v>
      </c>
      <c r="T28" s="16">
        <f t="shared" si="3"/>
        <v>32.373417721518983</v>
      </c>
      <c r="U28" s="16">
        <f t="shared" si="4"/>
        <v>1.8867576540022131</v>
      </c>
      <c r="V28" s="101">
        <f t="shared" si="6"/>
        <v>61.080793672286823</v>
      </c>
      <c r="W28" s="67" t="s">
        <v>103</v>
      </c>
    </row>
    <row r="29" spans="2:28" hidden="1">
      <c r="C29" s="66" t="s">
        <v>104</v>
      </c>
      <c r="D29" s="17" t="s">
        <v>105</v>
      </c>
      <c r="E29" s="17" t="s">
        <v>102</v>
      </c>
      <c r="F29" s="17">
        <v>721</v>
      </c>
      <c r="G29" s="17">
        <v>100</v>
      </c>
      <c r="H29" s="30">
        <f t="shared" si="7"/>
        <v>72100</v>
      </c>
      <c r="I29" s="31">
        <f>(26.5+32.1+35.6)/3</f>
        <v>31.400000000000002</v>
      </c>
      <c r="J29" s="32">
        <f t="shared" si="8"/>
        <v>0.8280254777070063</v>
      </c>
      <c r="K29" s="31">
        <v>35.9</v>
      </c>
      <c r="L29" s="31">
        <v>161.30000000000001</v>
      </c>
      <c r="M29" s="17">
        <v>26</v>
      </c>
      <c r="N29" s="17">
        <v>1500</v>
      </c>
      <c r="O29" s="17" t="s">
        <v>106</v>
      </c>
      <c r="P29" s="33">
        <f t="shared" si="0"/>
        <v>3.6061026352288486E-2</v>
      </c>
      <c r="Q29" s="33">
        <f t="shared" si="1"/>
        <v>2.0804438280166437E-2</v>
      </c>
      <c r="R29" s="34">
        <f t="shared" si="2"/>
        <v>5.6865464632454926E-2</v>
      </c>
      <c r="S29" s="33">
        <f t="shared" si="5"/>
        <v>0.36585365853658536</v>
      </c>
      <c r="T29" s="16">
        <f t="shared" si="3"/>
        <v>20.083565459610028</v>
      </c>
      <c r="U29" s="16">
        <f t="shared" si="4"/>
        <v>4.4699318040917539</v>
      </c>
      <c r="V29" s="101">
        <f t="shared" si="6"/>
        <v>89.772167987469487</v>
      </c>
      <c r="W29" s="67" t="s">
        <v>107</v>
      </c>
    </row>
    <row r="30" spans="2:28" hidden="1">
      <c r="C30" s="66" t="s">
        <v>108</v>
      </c>
      <c r="D30" s="17" t="s">
        <v>109</v>
      </c>
      <c r="E30" s="17" t="s">
        <v>102</v>
      </c>
      <c r="F30" s="17">
        <v>398</v>
      </c>
      <c r="G30" s="17">
        <v>100</v>
      </c>
      <c r="H30" s="30">
        <f t="shared" si="7"/>
        <v>39800</v>
      </c>
      <c r="I30" s="31">
        <f>(12.6+13.4+14.7)/3</f>
        <v>13.566666666666668</v>
      </c>
      <c r="J30" s="32">
        <f t="shared" si="8"/>
        <v>1.1056511056511056</v>
      </c>
      <c r="K30" s="31">
        <v>15.7</v>
      </c>
      <c r="L30" s="31">
        <v>112</v>
      </c>
      <c r="M30" s="17">
        <v>15</v>
      </c>
      <c r="N30" s="17">
        <f>4000*6</f>
        <v>24000</v>
      </c>
      <c r="O30" s="17" t="s">
        <v>110</v>
      </c>
      <c r="P30" s="33">
        <f t="shared" si="0"/>
        <v>3.7688442211055273E-2</v>
      </c>
      <c r="Q30" s="33">
        <f t="shared" si="1"/>
        <v>0.60301507537688437</v>
      </c>
      <c r="R30" s="34">
        <f t="shared" si="2"/>
        <v>0.64070351758793975</v>
      </c>
      <c r="S30" s="33">
        <f t="shared" si="5"/>
        <v>0.94117647058823517</v>
      </c>
      <c r="T30" s="16">
        <f t="shared" si="3"/>
        <v>25.35031847133758</v>
      </c>
      <c r="U30" s="16">
        <f t="shared" si="4"/>
        <v>3.5535714285714284</v>
      </c>
      <c r="V30" s="101">
        <f t="shared" si="6"/>
        <v>90.084167424931749</v>
      </c>
      <c r="W30" s="67" t="s">
        <v>111</v>
      </c>
    </row>
    <row r="31" spans="2:28" hidden="1">
      <c r="C31" s="66" t="s">
        <v>112</v>
      </c>
      <c r="D31" s="17"/>
      <c r="E31" s="17"/>
      <c r="F31" s="17"/>
      <c r="G31" s="17"/>
      <c r="H31" s="30">
        <f t="shared" si="7"/>
        <v>0</v>
      </c>
      <c r="I31" s="31"/>
      <c r="J31" s="32" t="e">
        <f t="shared" si="8"/>
        <v>#DIV/0!</v>
      </c>
      <c r="K31" s="31"/>
      <c r="L31" s="31"/>
      <c r="M31" s="17"/>
      <c r="N31" s="17"/>
      <c r="O31" s="17"/>
      <c r="P31" s="33" t="e">
        <f t="shared" si="0"/>
        <v>#DIV/0!</v>
      </c>
      <c r="Q31" s="33" t="e">
        <f t="shared" si="1"/>
        <v>#DIV/0!</v>
      </c>
      <c r="R31" s="34" t="e">
        <f t="shared" si="2"/>
        <v>#DIV/0!</v>
      </c>
      <c r="S31" s="33" t="e">
        <f t="shared" si="5"/>
        <v>#DIV/0!</v>
      </c>
      <c r="T31" s="16" t="e">
        <f t="shared" si="3"/>
        <v>#DIV/0!</v>
      </c>
      <c r="U31" s="16" t="e">
        <f t="shared" si="4"/>
        <v>#DIV/0!</v>
      </c>
      <c r="V31" s="101" t="e">
        <f t="shared" si="6"/>
        <v>#DIV/0!</v>
      </c>
      <c r="W31" s="67"/>
    </row>
    <row r="32" spans="2:28" hidden="1">
      <c r="C32" s="66" t="s">
        <v>113</v>
      </c>
      <c r="D32" s="17"/>
      <c r="E32" s="17"/>
      <c r="F32" s="17"/>
      <c r="G32" s="17"/>
      <c r="H32" s="30">
        <f t="shared" si="7"/>
        <v>0</v>
      </c>
      <c r="I32" s="31"/>
      <c r="J32" s="32" t="e">
        <f t="shared" si="8"/>
        <v>#DIV/0!</v>
      </c>
      <c r="K32" s="31"/>
      <c r="L32" s="31"/>
      <c r="M32" s="17"/>
      <c r="N32" s="17"/>
      <c r="O32" s="17"/>
      <c r="P32" s="33" t="e">
        <f t="shared" si="0"/>
        <v>#DIV/0!</v>
      </c>
      <c r="Q32" s="33" t="e">
        <f t="shared" si="1"/>
        <v>#DIV/0!</v>
      </c>
      <c r="R32" s="34" t="e">
        <f t="shared" si="2"/>
        <v>#DIV/0!</v>
      </c>
      <c r="S32" s="33" t="e">
        <f t="shared" si="5"/>
        <v>#DIV/0!</v>
      </c>
      <c r="T32" s="16" t="e">
        <f t="shared" si="3"/>
        <v>#DIV/0!</v>
      </c>
      <c r="U32" s="16" t="e">
        <f t="shared" si="4"/>
        <v>#DIV/0!</v>
      </c>
      <c r="V32" s="101" t="e">
        <f t="shared" si="6"/>
        <v>#DIV/0!</v>
      </c>
      <c r="W32" s="67"/>
    </row>
    <row r="33" spans="3:29" hidden="1">
      <c r="C33" s="66" t="s">
        <v>114</v>
      </c>
      <c r="D33" s="17" t="s">
        <v>115</v>
      </c>
      <c r="E33" s="17" t="s">
        <v>116</v>
      </c>
      <c r="F33" s="17">
        <v>690</v>
      </c>
      <c r="G33" s="17">
        <v>100</v>
      </c>
      <c r="H33" s="30">
        <f t="shared" si="7"/>
        <v>69000</v>
      </c>
      <c r="I33" s="31">
        <f>(37.7-33.5+53.9)/3</f>
        <v>19.366666666666667</v>
      </c>
      <c r="J33" s="32">
        <f t="shared" si="8"/>
        <v>0.61962134251290879</v>
      </c>
      <c r="K33" s="31">
        <v>46.3</v>
      </c>
      <c r="L33" s="31">
        <v>871.4</v>
      </c>
      <c r="M33" s="17">
        <v>12</v>
      </c>
      <c r="N33" s="17">
        <v>2000</v>
      </c>
      <c r="O33" s="17" t="s">
        <v>117</v>
      </c>
      <c r="P33" s="33">
        <f t="shared" si="0"/>
        <v>1.7391304347826087E-2</v>
      </c>
      <c r="Q33" s="33">
        <f t="shared" si="1"/>
        <v>2.8985507246376812E-2</v>
      </c>
      <c r="R33" s="34">
        <f t="shared" si="2"/>
        <v>4.6376811594202899E-2</v>
      </c>
      <c r="S33" s="33">
        <f t="shared" si="5"/>
        <v>0.625</v>
      </c>
      <c r="T33" s="16">
        <f t="shared" si="3"/>
        <v>14.902807775377971</v>
      </c>
      <c r="U33" s="16">
        <f t="shared" si="4"/>
        <v>0.79182924030296076</v>
      </c>
      <c r="V33" s="101">
        <f t="shared" si="6"/>
        <v>11.800478959158596</v>
      </c>
      <c r="W33" s="67" t="s">
        <v>118</v>
      </c>
    </row>
    <row r="34" spans="3:29" hidden="1">
      <c r="C34" s="66" t="s">
        <v>119</v>
      </c>
      <c r="D34" s="17"/>
      <c r="E34" s="17"/>
      <c r="F34" s="17"/>
      <c r="G34" s="17"/>
      <c r="H34" s="30">
        <f t="shared" si="7"/>
        <v>0</v>
      </c>
      <c r="I34" s="31"/>
      <c r="J34" s="32" t="e">
        <f t="shared" si="8"/>
        <v>#DIV/0!</v>
      </c>
      <c r="K34" s="31"/>
      <c r="L34" s="31"/>
      <c r="M34" s="17"/>
      <c r="N34" s="17"/>
      <c r="O34" s="17"/>
      <c r="P34" s="33" t="e">
        <f t="shared" si="0"/>
        <v>#DIV/0!</v>
      </c>
      <c r="Q34" s="33" t="e">
        <f t="shared" si="1"/>
        <v>#DIV/0!</v>
      </c>
      <c r="R34" s="34" t="e">
        <f t="shared" si="2"/>
        <v>#DIV/0!</v>
      </c>
      <c r="S34" s="33" t="e">
        <f t="shared" si="5"/>
        <v>#DIV/0!</v>
      </c>
      <c r="T34" s="16" t="e">
        <f t="shared" si="3"/>
        <v>#DIV/0!</v>
      </c>
      <c r="U34" s="16" t="e">
        <f t="shared" si="4"/>
        <v>#DIV/0!</v>
      </c>
      <c r="V34" s="101" t="e">
        <f t="shared" si="6"/>
        <v>#DIV/0!</v>
      </c>
      <c r="W34" s="67"/>
    </row>
    <row r="35" spans="3:29" hidden="1">
      <c r="C35" s="66" t="s">
        <v>120</v>
      </c>
      <c r="D35" s="17" t="s">
        <v>121</v>
      </c>
      <c r="E35" s="17" t="s">
        <v>122</v>
      </c>
      <c r="F35" s="17">
        <v>1412</v>
      </c>
      <c r="G35" s="17">
        <v>100</v>
      </c>
      <c r="H35" s="30">
        <f t="shared" si="7"/>
        <v>141200</v>
      </c>
      <c r="I35" s="31">
        <f>(165.5+167.8+148.9)/3</f>
        <v>160.73333333333335</v>
      </c>
      <c r="J35" s="32">
        <f t="shared" si="8"/>
        <v>0.31107424305267523</v>
      </c>
      <c r="K35" s="31">
        <v>104.2</v>
      </c>
      <c r="L35" s="31">
        <v>1638</v>
      </c>
      <c r="M35" s="17">
        <v>50</v>
      </c>
      <c r="N35" s="17">
        <v>3000</v>
      </c>
      <c r="O35" s="17" t="s">
        <v>123</v>
      </c>
      <c r="P35" s="33">
        <f t="shared" si="0"/>
        <v>3.5410764872521247E-2</v>
      </c>
      <c r="Q35" s="33">
        <f t="shared" si="1"/>
        <v>2.1246458923512748E-2</v>
      </c>
      <c r="R35" s="34">
        <f t="shared" si="2"/>
        <v>5.6657223796033995E-2</v>
      </c>
      <c r="S35" s="33">
        <f t="shared" si="5"/>
        <v>0.375</v>
      </c>
      <c r="T35" s="16">
        <f t="shared" si="3"/>
        <v>13.550863723608446</v>
      </c>
      <c r="U35" s="16">
        <f t="shared" si="4"/>
        <v>0.86202686202686207</v>
      </c>
      <c r="V35" s="101">
        <f t="shared" si="6"/>
        <v>11.681208533415829</v>
      </c>
      <c r="W35" s="67" t="s">
        <v>124</v>
      </c>
    </row>
    <row r="36" spans="3:29" hidden="1">
      <c r="C36" s="66" t="s">
        <v>125</v>
      </c>
      <c r="D36" s="17" t="s">
        <v>126</v>
      </c>
      <c r="E36" s="17" t="s">
        <v>127</v>
      </c>
      <c r="F36" s="17">
        <v>1125</v>
      </c>
      <c r="G36" s="17">
        <v>100</v>
      </c>
      <c r="H36" s="30">
        <f t="shared" si="7"/>
        <v>112500</v>
      </c>
      <c r="I36" s="31">
        <f>(-37.2+55.4+347.2)/3</f>
        <v>121.8</v>
      </c>
      <c r="J36" s="32">
        <f t="shared" si="8"/>
        <v>0.39408866995073893</v>
      </c>
      <c r="K36" s="31">
        <v>169.4</v>
      </c>
      <c r="L36" s="31">
        <v>940.7</v>
      </c>
      <c r="M36" s="17">
        <v>48</v>
      </c>
      <c r="N36" s="17">
        <v>3000</v>
      </c>
      <c r="O36" s="17" t="s">
        <v>128</v>
      </c>
      <c r="P36" s="33">
        <f t="shared" si="0"/>
        <v>4.2666666666666665E-2</v>
      </c>
      <c r="Q36" s="33">
        <f t="shared" si="1"/>
        <v>2.6666666666666668E-2</v>
      </c>
      <c r="R36" s="34">
        <f t="shared" si="2"/>
        <v>6.933333333333333E-2</v>
      </c>
      <c r="S36" s="33">
        <f t="shared" si="5"/>
        <v>0.38461538461538464</v>
      </c>
      <c r="T36" s="16">
        <f t="shared" si="3"/>
        <v>6.6410861865407318</v>
      </c>
      <c r="U36" s="16">
        <f t="shared" si="4"/>
        <v>1.195917933453811</v>
      </c>
      <c r="V36" s="102">
        <f t="shared" si="6"/>
        <v>7.9421940680964429</v>
      </c>
      <c r="W36" s="67" t="s">
        <v>129</v>
      </c>
    </row>
    <row r="37" spans="3:29" hidden="1">
      <c r="C37" s="66" t="s">
        <v>130</v>
      </c>
      <c r="D37" s="17" t="s">
        <v>131</v>
      </c>
      <c r="E37" s="17" t="s">
        <v>132</v>
      </c>
      <c r="F37" s="17">
        <v>1595</v>
      </c>
      <c r="G37" s="17">
        <v>100</v>
      </c>
      <c r="H37" s="30">
        <f t="shared" si="7"/>
        <v>159500</v>
      </c>
      <c r="I37" s="31">
        <f>(315.9+333.6+268.8)/3</f>
        <v>306.09999999999997</v>
      </c>
      <c r="J37" s="32">
        <f t="shared" si="8"/>
        <v>0.1796798431885005</v>
      </c>
      <c r="K37" s="31">
        <v>122.3</v>
      </c>
      <c r="L37" s="31">
        <v>3188</v>
      </c>
      <c r="M37" s="17">
        <v>55</v>
      </c>
      <c r="N37" s="17">
        <v>3000</v>
      </c>
      <c r="O37" s="17" t="s">
        <v>128</v>
      </c>
      <c r="P37" s="33">
        <f t="shared" si="0"/>
        <v>3.4482758620689655E-2</v>
      </c>
      <c r="Q37" s="33">
        <f t="shared" si="1"/>
        <v>1.8808777429467086E-2</v>
      </c>
      <c r="R37" s="34">
        <f t="shared" si="2"/>
        <v>5.329153605015674E-2</v>
      </c>
      <c r="S37" s="33">
        <f t="shared" si="5"/>
        <v>0.35294117647058826</v>
      </c>
      <c r="T37" s="16">
        <f t="shared" si="3"/>
        <v>13.04170073589534</v>
      </c>
      <c r="U37" s="16">
        <f t="shared" si="4"/>
        <v>0.50031367628607282</v>
      </c>
      <c r="V37" s="102">
        <f t="shared" si="6"/>
        <v>6.5249412401985785</v>
      </c>
      <c r="W37" s="67" t="s">
        <v>133</v>
      </c>
      <c r="AC37" t="s">
        <v>134</v>
      </c>
    </row>
    <row r="38" spans="3:29" hidden="1">
      <c r="C38" s="66" t="s">
        <v>135</v>
      </c>
      <c r="D38" s="17" t="s">
        <v>136</v>
      </c>
      <c r="E38" s="17" t="s">
        <v>137</v>
      </c>
      <c r="F38" s="17">
        <v>891</v>
      </c>
      <c r="G38" s="17">
        <v>100</v>
      </c>
      <c r="H38" s="30">
        <f t="shared" si="7"/>
        <v>89100</v>
      </c>
      <c r="I38" s="31">
        <f>(114.7+149.9+114.2)/3</f>
        <v>126.26666666666667</v>
      </c>
      <c r="J38" s="32">
        <f t="shared" si="8"/>
        <v>0.1583949313621964</v>
      </c>
      <c r="K38" s="31">
        <v>106.8</v>
      </c>
      <c r="L38" s="31">
        <v>1407</v>
      </c>
      <c r="M38" s="17">
        <v>20</v>
      </c>
      <c r="N38" s="17">
        <v>2000</v>
      </c>
      <c r="O38" s="17" t="s">
        <v>47</v>
      </c>
      <c r="P38" s="33">
        <f t="shared" si="0"/>
        <v>2.2446689113355778E-2</v>
      </c>
      <c r="Q38" s="33">
        <f t="shared" si="1"/>
        <v>2.2446689113355778E-2</v>
      </c>
      <c r="R38" s="34">
        <f t="shared" si="2"/>
        <v>4.4893378226711557E-2</v>
      </c>
      <c r="S38" s="33">
        <f t="shared" si="5"/>
        <v>0.5</v>
      </c>
      <c r="T38" s="16">
        <f t="shared" si="3"/>
        <v>8.3426966292134832</v>
      </c>
      <c r="U38" s="16">
        <f t="shared" si="4"/>
        <v>0.63326226012793174</v>
      </c>
      <c r="V38" s="102">
        <f t="shared" si="6"/>
        <v>5.2831149229774077</v>
      </c>
      <c r="W38" s="67" t="s">
        <v>138</v>
      </c>
    </row>
    <row r="39" spans="3:29" hidden="1">
      <c r="C39" s="66" t="s">
        <v>139</v>
      </c>
      <c r="D39" s="17" t="s">
        <v>140</v>
      </c>
      <c r="E39" s="17" t="s">
        <v>102</v>
      </c>
      <c r="F39" s="17">
        <v>2634</v>
      </c>
      <c r="G39" s="17">
        <v>100</v>
      </c>
      <c r="H39" s="30">
        <f t="shared" si="7"/>
        <v>263400</v>
      </c>
      <c r="I39" s="31">
        <f>(242.8+269.5+238.5)/3</f>
        <v>250.26666666666665</v>
      </c>
      <c r="J39" s="32">
        <f t="shared" si="8"/>
        <v>0.40756526371870005</v>
      </c>
      <c r="K39" s="31">
        <v>216.1</v>
      </c>
      <c r="L39" s="31">
        <v>1523</v>
      </c>
      <c r="M39" s="17">
        <v>102</v>
      </c>
      <c r="N39" s="17">
        <f>1980/12*30</f>
        <v>4950</v>
      </c>
      <c r="O39" s="17" t="s">
        <v>141</v>
      </c>
      <c r="P39" s="33">
        <f t="shared" si="0"/>
        <v>3.8724373576309798E-2</v>
      </c>
      <c r="Q39" s="33">
        <f t="shared" si="1"/>
        <v>1.879271070615034E-2</v>
      </c>
      <c r="R39" s="34">
        <f t="shared" si="2"/>
        <v>5.7517084282460135E-2</v>
      </c>
      <c r="S39" s="33">
        <f t="shared" si="5"/>
        <v>0.32673267326732675</v>
      </c>
      <c r="T39" s="16">
        <f t="shared" si="3"/>
        <v>12.188801480795927</v>
      </c>
      <c r="U39" s="16">
        <f t="shared" si="4"/>
        <v>1.7294812869336835</v>
      </c>
      <c r="V39" s="101">
        <f t="shared" si="6"/>
        <v>21.080304071186127</v>
      </c>
      <c r="W39" s="67" t="s">
        <v>142</v>
      </c>
    </row>
    <row r="40" spans="3:29" hidden="1">
      <c r="C40" s="66" t="s">
        <v>143</v>
      </c>
      <c r="D40" s="17" t="s">
        <v>144</v>
      </c>
      <c r="E40" s="17" t="s">
        <v>145</v>
      </c>
      <c r="F40" s="17">
        <v>1267</v>
      </c>
      <c r="G40" s="17">
        <v>100</v>
      </c>
      <c r="H40" s="30">
        <f t="shared" si="7"/>
        <v>126700</v>
      </c>
      <c r="I40" s="31">
        <f>(162.6+100.3+2)/3</f>
        <v>88.3</v>
      </c>
      <c r="J40" s="32">
        <f t="shared" si="8"/>
        <v>0.39637599093997739</v>
      </c>
      <c r="K40" s="31">
        <v>35.9</v>
      </c>
      <c r="L40" s="31">
        <v>2918</v>
      </c>
      <c r="M40" s="17">
        <v>35</v>
      </c>
      <c r="N40" s="17">
        <v>3000</v>
      </c>
      <c r="O40" s="17" t="s">
        <v>128</v>
      </c>
      <c r="P40" s="33">
        <f t="shared" si="0"/>
        <v>2.7624309392265192E-2</v>
      </c>
      <c r="Q40" s="33">
        <f t="shared" si="1"/>
        <v>2.3677979479084451E-2</v>
      </c>
      <c r="R40" s="34">
        <f t="shared" si="2"/>
        <v>5.1302288871349647E-2</v>
      </c>
      <c r="S40" s="33">
        <f t="shared" si="5"/>
        <v>0.46153846153846151</v>
      </c>
      <c r="T40" s="16">
        <f t="shared" si="3"/>
        <v>35.292479108635099</v>
      </c>
      <c r="U40" s="16">
        <f t="shared" si="4"/>
        <v>0.43420150788211104</v>
      </c>
      <c r="V40" s="101">
        <f t="shared" si="6"/>
        <v>15.324047645867262</v>
      </c>
      <c r="W40" s="67" t="s">
        <v>146</v>
      </c>
    </row>
    <row r="41" spans="3:29" hidden="1">
      <c r="C41" s="66" t="s">
        <v>147</v>
      </c>
      <c r="D41" s="17" t="s">
        <v>148</v>
      </c>
      <c r="E41" s="17" t="s">
        <v>145</v>
      </c>
      <c r="F41" s="17">
        <v>1675</v>
      </c>
      <c r="G41" s="17">
        <v>100</v>
      </c>
      <c r="H41" s="30">
        <f t="shared" si="7"/>
        <v>167500</v>
      </c>
      <c r="I41" s="31">
        <f>(46.4+114.4+119.5)/3</f>
        <v>93.433333333333337</v>
      </c>
      <c r="J41" s="32">
        <f t="shared" si="8"/>
        <v>0.53514092044238315</v>
      </c>
      <c r="K41" s="31">
        <v>90.4</v>
      </c>
      <c r="L41" s="31">
        <v>1892</v>
      </c>
      <c r="M41" s="17">
        <v>50</v>
      </c>
      <c r="N41" s="17">
        <v>5000</v>
      </c>
      <c r="O41" s="17" t="s">
        <v>149</v>
      </c>
      <c r="P41" s="33">
        <f t="shared" si="0"/>
        <v>2.9850746268656716E-2</v>
      </c>
      <c r="Q41" s="33">
        <f t="shared" si="1"/>
        <v>2.9850746268656716E-2</v>
      </c>
      <c r="R41" s="34">
        <f t="shared" si="2"/>
        <v>5.9701492537313432E-2</v>
      </c>
      <c r="S41" s="33">
        <f t="shared" si="5"/>
        <v>0.5</v>
      </c>
      <c r="T41" s="16">
        <f t="shared" si="3"/>
        <v>18.528761061946902</v>
      </c>
      <c r="U41" s="16">
        <f t="shared" si="4"/>
        <v>0.88530655391120505</v>
      </c>
      <c r="V41" s="101">
        <f t="shared" si="6"/>
        <v>16.403633603996333</v>
      </c>
      <c r="W41" s="67" t="s">
        <v>150</v>
      </c>
    </row>
    <row r="42" spans="3:29" hidden="1">
      <c r="C42" s="66" t="s">
        <v>151</v>
      </c>
      <c r="D42" s="17" t="s">
        <v>152</v>
      </c>
      <c r="E42" s="17" t="s">
        <v>145</v>
      </c>
      <c r="F42" s="17">
        <v>794</v>
      </c>
      <c r="G42" s="17">
        <v>100</v>
      </c>
      <c r="H42" s="30">
        <f t="shared" si="7"/>
        <v>79400</v>
      </c>
      <c r="I42" s="31">
        <f>(85.7+50.2+61.7)/3</f>
        <v>65.866666666666674</v>
      </c>
      <c r="J42" s="32">
        <f t="shared" si="8"/>
        <v>0.30364372469635625</v>
      </c>
      <c r="K42" s="31">
        <v>32.799999999999997</v>
      </c>
      <c r="L42" s="31">
        <v>764.9</v>
      </c>
      <c r="M42" s="17">
        <v>20</v>
      </c>
      <c r="N42" s="17">
        <v>2000</v>
      </c>
      <c r="O42" s="17" t="s">
        <v>47</v>
      </c>
      <c r="P42" s="33">
        <f t="shared" si="0"/>
        <v>2.5188916876574308E-2</v>
      </c>
      <c r="Q42" s="33">
        <f t="shared" si="1"/>
        <v>2.5188916876574308E-2</v>
      </c>
      <c r="R42" s="34">
        <f t="shared" si="2"/>
        <v>5.0377833753148617E-2</v>
      </c>
      <c r="S42" s="33">
        <f t="shared" si="5"/>
        <v>0.5</v>
      </c>
      <c r="T42" s="16">
        <f t="shared" si="3"/>
        <v>24.207317073170735</v>
      </c>
      <c r="U42" s="16">
        <f t="shared" si="4"/>
        <v>1.0380441887828475</v>
      </c>
      <c r="V42" s="101">
        <f t="shared" si="6"/>
        <v>25.128264813828689</v>
      </c>
      <c r="W42" s="67" t="s">
        <v>153</v>
      </c>
    </row>
    <row r="43" spans="3:29" hidden="1">
      <c r="C43" s="66" t="s">
        <v>154</v>
      </c>
      <c r="D43" s="17" t="s">
        <v>155</v>
      </c>
      <c r="E43" s="17" t="s">
        <v>156</v>
      </c>
      <c r="F43" s="17">
        <v>1179</v>
      </c>
      <c r="G43" s="17">
        <v>1</v>
      </c>
      <c r="H43" s="30">
        <f t="shared" si="7"/>
        <v>1179</v>
      </c>
      <c r="I43" s="31">
        <f>(95.7+64+129.5)/3</f>
        <v>96.399999999999991</v>
      </c>
      <c r="J43" s="32">
        <f t="shared" si="8"/>
        <v>0.51867219917012453</v>
      </c>
      <c r="K43" s="31">
        <v>49.6</v>
      </c>
      <c r="L43" s="31">
        <v>2884</v>
      </c>
      <c r="M43" s="17">
        <v>50</v>
      </c>
      <c r="N43" s="17">
        <v>1000</v>
      </c>
      <c r="O43" s="17" t="s">
        <v>157</v>
      </c>
      <c r="P43" s="33">
        <f t="shared" si="0"/>
        <v>4.2408821034775231E-2</v>
      </c>
      <c r="Q43" s="33">
        <f t="shared" si="1"/>
        <v>0.8481764206955047</v>
      </c>
      <c r="R43" s="34">
        <f t="shared" si="2"/>
        <v>0.89058524173027986</v>
      </c>
      <c r="S43" s="33">
        <f t="shared" si="5"/>
        <v>0.95238095238095244</v>
      </c>
      <c r="T43" s="16">
        <f t="shared" si="3"/>
        <v>23.77016129032258</v>
      </c>
      <c r="U43" s="16">
        <f t="shared" si="4"/>
        <v>0.40880721220527044</v>
      </c>
      <c r="V43" s="101">
        <f t="shared" si="6"/>
        <v>9.7174133707664083</v>
      </c>
      <c r="W43" s="67" t="s">
        <v>158</v>
      </c>
      <c r="AB43" t="s">
        <v>159</v>
      </c>
    </row>
    <row r="44" spans="3:29" hidden="1">
      <c r="C44" s="66" t="s">
        <v>160</v>
      </c>
      <c r="D44" s="17" t="s">
        <v>161</v>
      </c>
      <c r="E44" s="17" t="s">
        <v>162</v>
      </c>
      <c r="F44" s="17">
        <v>2266</v>
      </c>
      <c r="G44" s="17"/>
      <c r="H44" s="30">
        <f t="shared" si="7"/>
        <v>0</v>
      </c>
      <c r="I44" s="31">
        <f>(206.7+153.2+229.7)/3</f>
        <v>196.5333333333333</v>
      </c>
      <c r="J44" s="32">
        <f t="shared" si="8"/>
        <v>0.25440976933514253</v>
      </c>
      <c r="K44" s="31">
        <v>171.4</v>
      </c>
      <c r="L44" s="31">
        <v>1957</v>
      </c>
      <c r="M44" s="17">
        <v>50</v>
      </c>
      <c r="N44" s="17">
        <v>3000</v>
      </c>
      <c r="O44" s="17" t="s">
        <v>128</v>
      </c>
      <c r="P44" s="33">
        <f t="shared" si="0"/>
        <v>2.2065313327449251E-2</v>
      </c>
      <c r="Q44" s="33" t="e">
        <f t="shared" si="1"/>
        <v>#DIV/0!</v>
      </c>
      <c r="R44" s="34" t="e">
        <f t="shared" si="2"/>
        <v>#DIV/0!</v>
      </c>
      <c r="S44" s="33" t="e">
        <f t="shared" si="5"/>
        <v>#DIV/0!</v>
      </c>
      <c r="T44" s="16">
        <f t="shared" si="3"/>
        <v>13.220536756126021</v>
      </c>
      <c r="U44" s="16">
        <f t="shared" si="4"/>
        <v>1.1578947368421053</v>
      </c>
      <c r="V44" s="101">
        <f t="shared" si="6"/>
        <v>15.30798992814592</v>
      </c>
      <c r="W44" s="67"/>
    </row>
    <row r="45" spans="3:29" hidden="1">
      <c r="C45" s="66" t="s">
        <v>163</v>
      </c>
      <c r="D45" s="17"/>
      <c r="E45" s="17"/>
      <c r="F45" s="17"/>
      <c r="G45" s="17"/>
      <c r="H45" s="30">
        <f t="shared" si="7"/>
        <v>0</v>
      </c>
      <c r="I45" s="31"/>
      <c r="J45" s="32" t="e">
        <f t="shared" si="8"/>
        <v>#DIV/0!</v>
      </c>
      <c r="K45" s="31"/>
      <c r="L45" s="31"/>
      <c r="M45" s="17"/>
      <c r="N45" s="17"/>
      <c r="O45" s="17"/>
      <c r="P45" s="33" t="e">
        <f t="shared" si="0"/>
        <v>#DIV/0!</v>
      </c>
      <c r="Q45" s="33" t="e">
        <f t="shared" si="1"/>
        <v>#DIV/0!</v>
      </c>
      <c r="R45" s="34" t="e">
        <f t="shared" si="2"/>
        <v>#DIV/0!</v>
      </c>
      <c r="S45" s="33" t="e">
        <f t="shared" si="5"/>
        <v>#DIV/0!</v>
      </c>
      <c r="T45" s="16" t="e">
        <f t="shared" si="3"/>
        <v>#DIV/0!</v>
      </c>
      <c r="U45" s="16" t="e">
        <f t="shared" si="4"/>
        <v>#DIV/0!</v>
      </c>
      <c r="V45" s="101" t="e">
        <f t="shared" si="6"/>
        <v>#DIV/0!</v>
      </c>
      <c r="W45" s="67"/>
    </row>
    <row r="46" spans="3:29" hidden="1">
      <c r="C46" s="66" t="s">
        <v>164</v>
      </c>
      <c r="D46" s="17" t="s">
        <v>165</v>
      </c>
      <c r="E46" s="17" t="s">
        <v>102</v>
      </c>
      <c r="F46" s="17">
        <v>123</v>
      </c>
      <c r="G46" s="17">
        <v>1000</v>
      </c>
      <c r="H46" s="30">
        <f t="shared" si="7"/>
        <v>123000</v>
      </c>
      <c r="I46" s="31">
        <f>(16.8+15.9+13.5)/3</f>
        <v>15.4</v>
      </c>
      <c r="J46" s="32">
        <f t="shared" si="8"/>
        <v>0</v>
      </c>
      <c r="K46" s="31">
        <v>13.7</v>
      </c>
      <c r="L46" s="31">
        <v>82.5</v>
      </c>
      <c r="M46" s="17">
        <v>0</v>
      </c>
      <c r="N46" s="17">
        <f>2400*2+1200</f>
        <v>6000</v>
      </c>
      <c r="O46" s="17" t="s">
        <v>166</v>
      </c>
      <c r="P46" s="33">
        <f t="shared" si="0"/>
        <v>0</v>
      </c>
      <c r="Q46" s="33">
        <f t="shared" si="1"/>
        <v>4.878048780487805E-2</v>
      </c>
      <c r="R46" s="34">
        <f t="shared" si="2"/>
        <v>4.878048780487805E-2</v>
      </c>
      <c r="S46" s="33">
        <f t="shared" si="5"/>
        <v>1</v>
      </c>
      <c r="T46" s="16">
        <f t="shared" si="3"/>
        <v>8.9781021897810227</v>
      </c>
      <c r="U46" s="16">
        <f t="shared" si="4"/>
        <v>1.490909090909091</v>
      </c>
      <c r="V46" s="101">
        <f t="shared" si="6"/>
        <v>13.385534173855344</v>
      </c>
      <c r="W46" s="67" t="s">
        <v>167</v>
      </c>
      <c r="AB46" t="s">
        <v>168</v>
      </c>
    </row>
    <row r="47" spans="3:29" hidden="1">
      <c r="C47" s="66" t="s">
        <v>169</v>
      </c>
      <c r="D47" s="17"/>
      <c r="E47" s="17"/>
      <c r="F47" s="17"/>
      <c r="G47" s="17"/>
      <c r="H47" s="30">
        <f t="shared" si="7"/>
        <v>0</v>
      </c>
      <c r="I47" s="31"/>
      <c r="J47" s="32" t="e">
        <f t="shared" si="8"/>
        <v>#DIV/0!</v>
      </c>
      <c r="K47" s="31"/>
      <c r="L47" s="31"/>
      <c r="M47" s="17"/>
      <c r="N47" s="17"/>
      <c r="O47" s="17"/>
      <c r="P47" s="33" t="e">
        <f t="shared" si="0"/>
        <v>#DIV/0!</v>
      </c>
      <c r="Q47" s="33" t="e">
        <f t="shared" si="1"/>
        <v>#DIV/0!</v>
      </c>
      <c r="R47" s="34" t="e">
        <f t="shared" si="2"/>
        <v>#DIV/0!</v>
      </c>
      <c r="S47" s="33" t="e">
        <f t="shared" si="5"/>
        <v>#DIV/0!</v>
      </c>
      <c r="T47" s="16" t="e">
        <f t="shared" si="3"/>
        <v>#DIV/0!</v>
      </c>
      <c r="U47" s="16" t="e">
        <f t="shared" si="4"/>
        <v>#DIV/0!</v>
      </c>
      <c r="V47" s="101" t="e">
        <f t="shared" si="6"/>
        <v>#DIV/0!</v>
      </c>
      <c r="W47" s="67"/>
    </row>
    <row r="48" spans="3:29" hidden="1">
      <c r="C48" s="66" t="s">
        <v>170</v>
      </c>
      <c r="D48" s="17" t="s">
        <v>171</v>
      </c>
      <c r="E48" s="17" t="s">
        <v>172</v>
      </c>
      <c r="F48" s="17">
        <v>1032</v>
      </c>
      <c r="G48" s="17">
        <v>500</v>
      </c>
      <c r="H48" s="30">
        <f t="shared" si="7"/>
        <v>516000</v>
      </c>
      <c r="I48" s="31">
        <f>(106.5+99.7+113)/3</f>
        <v>106.39999999999999</v>
      </c>
      <c r="J48" s="32">
        <f t="shared" si="8"/>
        <v>0.56484962406015038</v>
      </c>
      <c r="K48" s="31">
        <v>114</v>
      </c>
      <c r="L48" s="31">
        <v>369.6</v>
      </c>
      <c r="M48" s="17">
        <v>60.1</v>
      </c>
      <c r="N48" s="17">
        <v>2500</v>
      </c>
      <c r="O48" s="17" t="s">
        <v>173</v>
      </c>
      <c r="P48" s="33">
        <f t="shared" si="0"/>
        <v>5.8236434108527135E-2</v>
      </c>
      <c r="Q48" s="33">
        <f t="shared" si="1"/>
        <v>4.8449612403100775E-3</v>
      </c>
      <c r="R48" s="34">
        <f t="shared" si="2"/>
        <v>6.3081395348837208E-2</v>
      </c>
      <c r="S48" s="33">
        <f t="shared" si="5"/>
        <v>7.6804915514592939E-2</v>
      </c>
      <c r="T48" s="16">
        <f t="shared" si="3"/>
        <v>9.0526315789473681</v>
      </c>
      <c r="U48" s="16">
        <f t="shared" si="4"/>
        <v>2.7922077922077921</v>
      </c>
      <c r="V48" s="101">
        <f t="shared" si="6"/>
        <v>25.276828434723171</v>
      </c>
      <c r="W48" s="67" t="s">
        <v>174</v>
      </c>
    </row>
    <row r="49" spans="3:29" hidden="1">
      <c r="C49" s="66" t="s">
        <v>175</v>
      </c>
      <c r="D49" s="17" t="s">
        <v>176</v>
      </c>
      <c r="E49" s="17" t="s">
        <v>177</v>
      </c>
      <c r="F49" s="17">
        <v>1482</v>
      </c>
      <c r="G49" s="17">
        <v>100</v>
      </c>
      <c r="H49" s="30">
        <f t="shared" si="7"/>
        <v>148200</v>
      </c>
      <c r="I49" s="31">
        <f>(59.1+107.1+180)/3</f>
        <v>115.39999999999999</v>
      </c>
      <c r="J49" s="32">
        <f t="shared" si="8"/>
        <v>0.19064124783362218</v>
      </c>
      <c r="K49" s="31">
        <v>134</v>
      </c>
      <c r="L49" s="31">
        <v>1118</v>
      </c>
      <c r="M49" s="17">
        <v>22</v>
      </c>
      <c r="N49" s="17">
        <v>5000</v>
      </c>
      <c r="O49" s="17" t="s">
        <v>47</v>
      </c>
      <c r="P49" s="33">
        <f t="shared" si="0"/>
        <v>1.4844804318488529E-2</v>
      </c>
      <c r="Q49" s="33">
        <f t="shared" si="1"/>
        <v>3.3738191632928474E-2</v>
      </c>
      <c r="R49" s="34">
        <f t="shared" si="2"/>
        <v>4.8582995951417005E-2</v>
      </c>
      <c r="S49" s="33">
        <f t="shared" si="5"/>
        <v>0.69444444444444442</v>
      </c>
      <c r="T49" s="16">
        <f t="shared" si="3"/>
        <v>11.059701492537313</v>
      </c>
      <c r="U49" s="16">
        <f t="shared" si="4"/>
        <v>1.3255813953488371</v>
      </c>
      <c r="V49" s="101">
        <f t="shared" si="6"/>
        <v>14.660534536619227</v>
      </c>
      <c r="W49" s="67" t="s">
        <v>178</v>
      </c>
    </row>
    <row r="50" spans="3:29" hidden="1">
      <c r="C50" s="66" t="s">
        <v>179</v>
      </c>
      <c r="D50" s="17" t="s">
        <v>180</v>
      </c>
      <c r="E50" s="17" t="s">
        <v>181</v>
      </c>
      <c r="F50" s="17">
        <v>1555</v>
      </c>
      <c r="G50" s="17">
        <v>100</v>
      </c>
      <c r="H50" s="30">
        <f t="shared" si="7"/>
        <v>155500</v>
      </c>
      <c r="I50" s="31">
        <f>(87.4+82.9+114.9)/3</f>
        <v>95.066666666666677</v>
      </c>
      <c r="J50" s="32">
        <f t="shared" si="8"/>
        <v>0.36816269284712477</v>
      </c>
      <c r="K50" s="31">
        <v>134.69999999999999</v>
      </c>
      <c r="L50" s="31">
        <v>598.4</v>
      </c>
      <c r="M50" s="17">
        <v>35</v>
      </c>
      <c r="N50" s="17">
        <v>9000</v>
      </c>
      <c r="O50" s="17" t="s">
        <v>128</v>
      </c>
      <c r="P50" s="33">
        <f t="shared" si="0"/>
        <v>2.2508038585209004E-2</v>
      </c>
      <c r="Q50" s="33">
        <f t="shared" si="1"/>
        <v>5.7877813504823149E-2</v>
      </c>
      <c r="R50" s="34">
        <f t="shared" si="2"/>
        <v>8.0385852090032156E-2</v>
      </c>
      <c r="S50" s="33">
        <f t="shared" si="5"/>
        <v>0.72</v>
      </c>
      <c r="T50" s="16">
        <f t="shared" si="3"/>
        <v>11.544172234595399</v>
      </c>
      <c r="U50" s="16">
        <f t="shared" si="4"/>
        <v>2.598596256684492</v>
      </c>
      <c r="V50" s="101">
        <f t="shared" si="6"/>
        <v>29.998642755340651</v>
      </c>
      <c r="W50" s="67" t="s">
        <v>182</v>
      </c>
    </row>
    <row r="51" spans="3:29" hidden="1">
      <c r="C51" s="66" t="s">
        <v>183</v>
      </c>
      <c r="D51" s="17" t="s">
        <v>184</v>
      </c>
      <c r="E51" s="17" t="s">
        <v>132</v>
      </c>
      <c r="F51" s="17">
        <v>899</v>
      </c>
      <c r="G51" s="17">
        <v>100</v>
      </c>
      <c r="H51" s="30">
        <f t="shared" si="7"/>
        <v>89900</v>
      </c>
      <c r="I51" s="31">
        <f>(236.3+200.5+117.4)/3</f>
        <v>184.73333333333335</v>
      </c>
      <c r="J51" s="32">
        <f t="shared" si="8"/>
        <v>0.19487549621075423</v>
      </c>
      <c r="K51" s="31">
        <v>69.8</v>
      </c>
      <c r="L51" s="31">
        <v>1570</v>
      </c>
      <c r="M51" s="17">
        <v>36</v>
      </c>
      <c r="N51" s="17">
        <v>2000</v>
      </c>
      <c r="O51" s="17" t="s">
        <v>47</v>
      </c>
      <c r="P51" s="33">
        <f t="shared" si="0"/>
        <v>4.0044493882091213E-2</v>
      </c>
      <c r="Q51" s="33">
        <f t="shared" si="1"/>
        <v>2.224694104560623E-2</v>
      </c>
      <c r="R51" s="34">
        <f t="shared" si="2"/>
        <v>6.2291434927697439E-2</v>
      </c>
      <c r="S51" s="33">
        <f t="shared" si="5"/>
        <v>0.35714285714285715</v>
      </c>
      <c r="T51" s="16">
        <f t="shared" si="3"/>
        <v>12.879656160458453</v>
      </c>
      <c r="U51" s="16">
        <f t="shared" si="4"/>
        <v>0.57261146496815285</v>
      </c>
      <c r="V51" s="102">
        <f t="shared" si="6"/>
        <v>7.3750387823262091</v>
      </c>
      <c r="W51" s="67" t="s">
        <v>185</v>
      </c>
    </row>
    <row r="52" spans="3:29" hidden="1">
      <c r="C52" s="66" t="s">
        <v>186</v>
      </c>
      <c r="D52" s="17" t="s">
        <v>187</v>
      </c>
      <c r="E52" s="17" t="s">
        <v>132</v>
      </c>
      <c r="F52" s="17">
        <v>2293</v>
      </c>
      <c r="G52" s="17">
        <v>100</v>
      </c>
      <c r="H52" s="30">
        <f t="shared" si="7"/>
        <v>229300</v>
      </c>
      <c r="I52" s="31">
        <f>(180.8+290.9+267.4)/3</f>
        <v>246.36666666666665</v>
      </c>
      <c r="J52" s="32">
        <f t="shared" si="8"/>
        <v>0.36530915978893252</v>
      </c>
      <c r="K52" s="31">
        <v>229</v>
      </c>
      <c r="L52" s="31">
        <v>1947</v>
      </c>
      <c r="M52" s="17">
        <v>90</v>
      </c>
      <c r="N52" s="17">
        <v>2000</v>
      </c>
      <c r="O52" s="17" t="s">
        <v>188</v>
      </c>
      <c r="P52" s="33">
        <f t="shared" si="0"/>
        <v>3.9249890972525077E-2</v>
      </c>
      <c r="Q52" s="33">
        <f t="shared" si="1"/>
        <v>8.7221979938944608E-3</v>
      </c>
      <c r="R52" s="34">
        <f t="shared" si="2"/>
        <v>4.7972088966419538E-2</v>
      </c>
      <c r="S52" s="33">
        <f t="shared" si="5"/>
        <v>0.1818181818181818</v>
      </c>
      <c r="T52" s="16">
        <f t="shared" si="3"/>
        <v>10.013100436681222</v>
      </c>
      <c r="U52" s="16">
        <f t="shared" si="4"/>
        <v>1.1777092963533642</v>
      </c>
      <c r="V52" s="101">
        <f t="shared" si="6"/>
        <v>11.792521469599405</v>
      </c>
      <c r="W52" s="67" t="s">
        <v>189</v>
      </c>
      <c r="AC52" t="s">
        <v>190</v>
      </c>
    </row>
    <row r="53" spans="3:29" hidden="1">
      <c r="C53" s="66" t="s">
        <v>191</v>
      </c>
      <c r="D53" s="17" t="s">
        <v>192</v>
      </c>
      <c r="E53" s="17" t="s">
        <v>132</v>
      </c>
      <c r="F53" s="17">
        <v>2522</v>
      </c>
      <c r="G53" s="17">
        <v>100</v>
      </c>
      <c r="H53" s="30">
        <f t="shared" si="7"/>
        <v>252200</v>
      </c>
      <c r="I53" s="31">
        <f>(288.4+328.7+269.5)/3</f>
        <v>295.5333333333333</v>
      </c>
      <c r="J53" s="32">
        <f t="shared" si="8"/>
        <v>0.30453417550191747</v>
      </c>
      <c r="K53" s="31">
        <v>207.7</v>
      </c>
      <c r="L53" s="31">
        <v>4134</v>
      </c>
      <c r="M53" s="17">
        <v>90</v>
      </c>
      <c r="N53" s="17">
        <v>3000</v>
      </c>
      <c r="O53" s="17" t="s">
        <v>128</v>
      </c>
      <c r="P53" s="33">
        <f t="shared" si="0"/>
        <v>3.5685963521015066E-2</v>
      </c>
      <c r="Q53" s="33">
        <f t="shared" si="1"/>
        <v>1.1895321173671689E-2</v>
      </c>
      <c r="R53" s="34">
        <f t="shared" si="2"/>
        <v>4.7581284694686754E-2</v>
      </c>
      <c r="S53" s="33">
        <f t="shared" si="5"/>
        <v>0.25</v>
      </c>
      <c r="T53" s="16">
        <f t="shared" si="3"/>
        <v>12.142513240250361</v>
      </c>
      <c r="U53" s="16">
        <f t="shared" si="4"/>
        <v>0.61006289308176098</v>
      </c>
      <c r="V53" s="101">
        <f t="shared" si="6"/>
        <v>7.407696756630723</v>
      </c>
      <c r="W53" s="67" t="s">
        <v>193</v>
      </c>
    </row>
    <row r="54" spans="3:29" hidden="1">
      <c r="C54" s="66" t="s">
        <v>194</v>
      </c>
      <c r="D54" s="17"/>
      <c r="E54" s="17"/>
      <c r="F54" s="17"/>
      <c r="G54" s="17"/>
      <c r="H54" s="30">
        <f t="shared" si="7"/>
        <v>0</v>
      </c>
      <c r="I54" s="31"/>
      <c r="J54" s="32" t="e">
        <f t="shared" si="8"/>
        <v>#DIV/0!</v>
      </c>
      <c r="K54" s="31"/>
      <c r="L54" s="31"/>
      <c r="M54" s="17"/>
      <c r="N54" s="17"/>
      <c r="O54" s="17"/>
      <c r="P54" s="33" t="e">
        <f t="shared" si="0"/>
        <v>#DIV/0!</v>
      </c>
      <c r="Q54" s="33" t="e">
        <f t="shared" si="1"/>
        <v>#DIV/0!</v>
      </c>
      <c r="R54" s="34" t="e">
        <f t="shared" si="2"/>
        <v>#DIV/0!</v>
      </c>
      <c r="S54" s="33" t="e">
        <f t="shared" si="5"/>
        <v>#DIV/0!</v>
      </c>
      <c r="T54" s="16" t="e">
        <f t="shared" si="3"/>
        <v>#DIV/0!</v>
      </c>
      <c r="U54" s="16" t="e">
        <f t="shared" si="4"/>
        <v>#DIV/0!</v>
      </c>
      <c r="V54" s="101" t="e">
        <f t="shared" si="6"/>
        <v>#DIV/0!</v>
      </c>
      <c r="W54" s="67"/>
    </row>
    <row r="55" spans="3:29" hidden="1">
      <c r="C55" s="66" t="s">
        <v>195</v>
      </c>
      <c r="D55" s="17"/>
      <c r="E55" s="17"/>
      <c r="F55" s="17"/>
      <c r="G55" s="17"/>
      <c r="H55" s="30">
        <f t="shared" si="7"/>
        <v>0</v>
      </c>
      <c r="I55" s="31"/>
      <c r="J55" s="32" t="e">
        <f t="shared" si="8"/>
        <v>#DIV/0!</v>
      </c>
      <c r="K55" s="31"/>
      <c r="L55" s="31"/>
      <c r="M55" s="17"/>
      <c r="N55" s="17"/>
      <c r="O55" s="17"/>
      <c r="P55" s="33" t="e">
        <f t="shared" si="0"/>
        <v>#DIV/0!</v>
      </c>
      <c r="Q55" s="33" t="e">
        <f t="shared" si="1"/>
        <v>#DIV/0!</v>
      </c>
      <c r="R55" s="34" t="e">
        <f t="shared" si="2"/>
        <v>#DIV/0!</v>
      </c>
      <c r="S55" s="33" t="e">
        <f t="shared" si="5"/>
        <v>#DIV/0!</v>
      </c>
      <c r="T55" s="16" t="e">
        <f t="shared" si="3"/>
        <v>#DIV/0!</v>
      </c>
      <c r="U55" s="16" t="e">
        <f t="shared" si="4"/>
        <v>#DIV/0!</v>
      </c>
      <c r="V55" s="101" t="e">
        <f t="shared" si="6"/>
        <v>#DIV/0!</v>
      </c>
      <c r="W55" s="67"/>
    </row>
    <row r="56" spans="3:29" hidden="1">
      <c r="C56" s="66" t="s">
        <v>196</v>
      </c>
      <c r="D56" s="17" t="s">
        <v>197</v>
      </c>
      <c r="E56" s="17" t="s">
        <v>198</v>
      </c>
      <c r="F56" s="17">
        <v>364</v>
      </c>
      <c r="G56" s="17">
        <v>100</v>
      </c>
      <c r="H56" s="30">
        <f t="shared" si="7"/>
        <v>36400</v>
      </c>
      <c r="I56" s="31">
        <f>(-30.4+18.4+19.8)/3</f>
        <v>2.6</v>
      </c>
      <c r="J56" s="32">
        <f t="shared" si="8"/>
        <v>3.8461538461538458</v>
      </c>
      <c r="K56" s="31">
        <v>14.5</v>
      </c>
      <c r="L56" s="31">
        <v>622.29999999999995</v>
      </c>
      <c r="M56" s="17">
        <v>10</v>
      </c>
      <c r="N56" s="17">
        <v>2000</v>
      </c>
      <c r="O56" s="17" t="s">
        <v>199</v>
      </c>
      <c r="P56" s="33">
        <f t="shared" si="0"/>
        <v>2.7472527472527472E-2</v>
      </c>
      <c r="Q56" s="33">
        <f t="shared" si="1"/>
        <v>5.4945054945054944E-2</v>
      </c>
      <c r="R56" s="34">
        <f t="shared" si="2"/>
        <v>8.2417582417582416E-2</v>
      </c>
      <c r="S56" s="33">
        <f t="shared" si="5"/>
        <v>0.66666666666666663</v>
      </c>
      <c r="T56" s="16">
        <f t="shared" si="3"/>
        <v>25.103448275862068</v>
      </c>
      <c r="U56" s="16">
        <f t="shared" si="4"/>
        <v>0.58492688413948257</v>
      </c>
      <c r="V56" s="101">
        <f t="shared" si="6"/>
        <v>14.683681781156665</v>
      </c>
      <c r="W56" s="67" t="s">
        <v>200</v>
      </c>
    </row>
    <row r="57" spans="3:29" hidden="1">
      <c r="C57" s="66" t="s">
        <v>201</v>
      </c>
      <c r="D57" s="17"/>
      <c r="E57" s="17"/>
      <c r="F57" s="17"/>
      <c r="G57" s="17"/>
      <c r="H57" s="30">
        <f t="shared" si="7"/>
        <v>0</v>
      </c>
      <c r="I57" s="31"/>
      <c r="J57" s="32" t="e">
        <f t="shared" si="8"/>
        <v>#DIV/0!</v>
      </c>
      <c r="K57" s="31"/>
      <c r="L57" s="31"/>
      <c r="M57" s="17"/>
      <c r="N57" s="17"/>
      <c r="O57" s="17"/>
      <c r="P57" s="33" t="e">
        <f>M57/F57</f>
        <v>#DIV/0!</v>
      </c>
      <c r="Q57" s="33" t="e">
        <f>N57/(F57*G57)</f>
        <v>#DIV/0!</v>
      </c>
      <c r="R57" s="34" t="e">
        <f t="shared" si="2"/>
        <v>#DIV/0!</v>
      </c>
      <c r="S57" s="33" t="e">
        <f t="shared" si="5"/>
        <v>#DIV/0!</v>
      </c>
      <c r="T57" s="16" t="e">
        <f>F57/K57</f>
        <v>#DIV/0!</v>
      </c>
      <c r="U57" s="16" t="e">
        <f>F57/L57</f>
        <v>#DIV/0!</v>
      </c>
      <c r="V57" s="101" t="e">
        <f t="shared" si="6"/>
        <v>#DIV/0!</v>
      </c>
      <c r="W57" s="67"/>
    </row>
    <row r="58" spans="3:29" hidden="1">
      <c r="C58" s="66" t="s">
        <v>202</v>
      </c>
      <c r="D58" s="17" t="s">
        <v>203</v>
      </c>
      <c r="E58" s="17" t="s">
        <v>65</v>
      </c>
      <c r="F58" s="17">
        <v>520</v>
      </c>
      <c r="G58" s="17">
        <v>100</v>
      </c>
      <c r="H58" s="30">
        <f t="shared" si="7"/>
        <v>52000</v>
      </c>
      <c r="I58" s="31">
        <v>54</v>
      </c>
      <c r="J58" s="32">
        <f t="shared" si="8"/>
        <v>0.37037037037037035</v>
      </c>
      <c r="K58" s="31">
        <v>55.4</v>
      </c>
      <c r="L58" s="31">
        <v>1159</v>
      </c>
      <c r="M58" s="17">
        <v>20</v>
      </c>
      <c r="N58" s="17">
        <v>500</v>
      </c>
      <c r="O58" s="17" t="s">
        <v>106</v>
      </c>
      <c r="P58" s="33">
        <f>M58/F58</f>
        <v>3.8461538461538464E-2</v>
      </c>
      <c r="Q58" s="33">
        <f>N58/(F58*G58)</f>
        <v>9.6153846153846159E-3</v>
      </c>
      <c r="R58" s="34">
        <f t="shared" si="2"/>
        <v>4.807692307692308E-2</v>
      </c>
      <c r="S58" s="33">
        <f t="shared" si="5"/>
        <v>0.2</v>
      </c>
      <c r="T58" s="16">
        <f>F58/K58</f>
        <v>9.3862815884476536</v>
      </c>
      <c r="U58" s="16">
        <f>F58/L58</f>
        <v>0.44866264020707508</v>
      </c>
      <c r="V58" s="101">
        <f t="shared" si="6"/>
        <v>4.2112738791999824</v>
      </c>
      <c r="W58" s="67" t="s">
        <v>204</v>
      </c>
    </row>
    <row r="59" spans="3:29" hidden="1">
      <c r="C59" s="66" t="s">
        <v>205</v>
      </c>
      <c r="D59" s="17" t="s">
        <v>206</v>
      </c>
      <c r="E59" s="17" t="s">
        <v>65</v>
      </c>
      <c r="F59" s="17">
        <v>504</v>
      </c>
      <c r="G59" s="17"/>
      <c r="H59" s="30">
        <f t="shared" si="7"/>
        <v>0</v>
      </c>
      <c r="I59" s="31"/>
      <c r="J59" s="32" t="e">
        <f t="shared" si="8"/>
        <v>#DIV/0!</v>
      </c>
      <c r="K59" s="31"/>
      <c r="L59" s="31"/>
      <c r="M59" s="17"/>
      <c r="N59" s="17"/>
      <c r="O59" s="17"/>
      <c r="P59" s="33">
        <f>M59/F59</f>
        <v>0</v>
      </c>
      <c r="Q59" s="33" t="e">
        <f>N59/(F59*G59)</f>
        <v>#DIV/0!</v>
      </c>
      <c r="R59" s="34" t="e">
        <f t="shared" si="2"/>
        <v>#DIV/0!</v>
      </c>
      <c r="S59" s="33" t="e">
        <f t="shared" si="5"/>
        <v>#DIV/0!</v>
      </c>
      <c r="T59" s="16" t="e">
        <f>F59/K59</f>
        <v>#DIV/0!</v>
      </c>
      <c r="U59" s="16" t="e">
        <f>F59/L59</f>
        <v>#DIV/0!</v>
      </c>
      <c r="V59" s="101" t="e">
        <f t="shared" si="6"/>
        <v>#DIV/0!</v>
      </c>
      <c r="W59" s="67"/>
    </row>
    <row r="60" spans="3:29" hidden="1">
      <c r="C60" s="66" t="s">
        <v>207</v>
      </c>
      <c r="D60" s="17" t="s">
        <v>208</v>
      </c>
      <c r="E60" s="17" t="s">
        <v>65</v>
      </c>
      <c r="F60" s="17">
        <v>1563</v>
      </c>
      <c r="G60" s="17">
        <v>100</v>
      </c>
      <c r="H60" s="30">
        <f t="shared" si="7"/>
        <v>156300</v>
      </c>
      <c r="I60" s="31">
        <v>186.4</v>
      </c>
      <c r="J60" s="32">
        <f t="shared" si="8"/>
        <v>0.53648068669527893</v>
      </c>
      <c r="K60" s="31">
        <v>0</v>
      </c>
      <c r="L60" s="31">
        <v>1584</v>
      </c>
      <c r="M60" s="17">
        <v>100</v>
      </c>
      <c r="N60" s="17"/>
      <c r="O60" s="17" t="s">
        <v>209</v>
      </c>
      <c r="P60" s="33">
        <f>M60/F60</f>
        <v>6.3979526551503518E-2</v>
      </c>
      <c r="Q60" s="33">
        <f>N60/(F60*G60)</f>
        <v>0</v>
      </c>
      <c r="R60" s="34">
        <f t="shared" si="2"/>
        <v>6.3979526551503518E-2</v>
      </c>
      <c r="S60" s="33">
        <f t="shared" si="5"/>
        <v>0</v>
      </c>
      <c r="T60" s="16" t="e">
        <f>F60/K60</f>
        <v>#DIV/0!</v>
      </c>
      <c r="U60" s="16">
        <f>F60/L60</f>
        <v>0.9867424242424242</v>
      </c>
      <c r="V60" s="101" t="e">
        <f t="shared" si="6"/>
        <v>#DIV/0!</v>
      </c>
      <c r="W60" s="67" t="s">
        <v>210</v>
      </c>
    </row>
    <row r="61" spans="3:29" hidden="1">
      <c r="C61" s="66" t="s">
        <v>211</v>
      </c>
      <c r="D61" s="17"/>
      <c r="E61" s="17"/>
      <c r="F61" s="17"/>
      <c r="G61" s="17"/>
      <c r="H61" s="30">
        <f t="shared" si="7"/>
        <v>0</v>
      </c>
      <c r="I61" s="31"/>
      <c r="J61" s="32" t="e">
        <f t="shared" si="8"/>
        <v>#DIV/0!</v>
      </c>
      <c r="K61" s="31"/>
      <c r="L61" s="31"/>
      <c r="M61" s="17"/>
      <c r="N61" s="17"/>
      <c r="O61" s="17"/>
      <c r="P61" s="33" t="e">
        <f t="shared" ref="P61:P73" si="9">M61/F61</f>
        <v>#DIV/0!</v>
      </c>
      <c r="Q61" s="33" t="e">
        <f t="shared" ref="Q61:Q73" si="10">N61/(F61*G61)</f>
        <v>#DIV/0!</v>
      </c>
      <c r="R61" s="34" t="e">
        <f t="shared" si="2"/>
        <v>#DIV/0!</v>
      </c>
      <c r="S61" s="33" t="e">
        <f t="shared" si="5"/>
        <v>#DIV/0!</v>
      </c>
      <c r="T61" s="16" t="e">
        <f t="shared" ref="T61:T73" si="11">F61/K61</f>
        <v>#DIV/0!</v>
      </c>
      <c r="U61" s="16" t="e">
        <f t="shared" ref="U61:U73" si="12">F61/L61</f>
        <v>#DIV/0!</v>
      </c>
      <c r="V61" s="101" t="e">
        <f t="shared" si="6"/>
        <v>#DIV/0!</v>
      </c>
      <c r="W61" s="67"/>
    </row>
    <row r="62" spans="3:29" hidden="1">
      <c r="C62" s="66" t="s">
        <v>212</v>
      </c>
      <c r="D62" s="17" t="s">
        <v>213</v>
      </c>
      <c r="E62" s="17" t="s">
        <v>46</v>
      </c>
      <c r="F62" s="17">
        <f>1787*2</f>
        <v>3574</v>
      </c>
      <c r="G62" s="17">
        <v>50</v>
      </c>
      <c r="H62" s="30">
        <f t="shared" si="7"/>
        <v>178700</v>
      </c>
      <c r="I62" s="31">
        <v>554.92999999999995</v>
      </c>
      <c r="J62" s="32">
        <f t="shared" si="8"/>
        <v>0.19822319932243709</v>
      </c>
      <c r="K62" s="31">
        <f>337*2</f>
        <v>674</v>
      </c>
      <c r="L62" s="31">
        <f>2383*2</f>
        <v>4766</v>
      </c>
      <c r="M62" s="17">
        <v>110</v>
      </c>
      <c r="N62" s="17">
        <v>3000</v>
      </c>
      <c r="O62" s="17" t="s">
        <v>214</v>
      </c>
      <c r="P62" s="33">
        <f t="shared" si="9"/>
        <v>3.0777839955232231E-2</v>
      </c>
      <c r="Q62" s="33">
        <f t="shared" si="10"/>
        <v>1.6787912702853944E-2</v>
      </c>
      <c r="R62" s="34">
        <f t="shared" si="2"/>
        <v>4.7565752658086179E-2</v>
      </c>
      <c r="S62" s="33">
        <f t="shared" si="5"/>
        <v>0.3529411764705882</v>
      </c>
      <c r="T62" s="16">
        <f t="shared" si="11"/>
        <v>5.3026706231454002</v>
      </c>
      <c r="U62" s="16">
        <f t="shared" si="12"/>
        <v>0.74989509022240874</v>
      </c>
      <c r="V62" s="102">
        <f t="shared" si="6"/>
        <v>3.9764466653633361</v>
      </c>
      <c r="W62" s="67" t="s">
        <v>215</v>
      </c>
    </row>
    <row r="63" spans="3:29" hidden="1">
      <c r="C63" s="66" t="s">
        <v>216</v>
      </c>
      <c r="D63" s="17" t="s">
        <v>217</v>
      </c>
      <c r="E63" s="17" t="s">
        <v>218</v>
      </c>
      <c r="F63" s="17">
        <v>3401</v>
      </c>
      <c r="G63" s="17">
        <v>100</v>
      </c>
      <c r="H63" s="30">
        <f t="shared" si="7"/>
        <v>340100</v>
      </c>
      <c r="I63" s="31">
        <v>423.9</v>
      </c>
      <c r="J63" s="32">
        <f t="shared" si="8"/>
        <v>0.25949516395376271</v>
      </c>
      <c r="K63" s="31">
        <v>340.3</v>
      </c>
      <c r="L63" s="31">
        <v>3418</v>
      </c>
      <c r="M63" s="17">
        <v>110</v>
      </c>
      <c r="N63" s="17"/>
      <c r="O63" s="17" t="s">
        <v>219</v>
      </c>
      <c r="P63" s="33">
        <f t="shared" si="9"/>
        <v>3.2343428403410764E-2</v>
      </c>
      <c r="Q63" s="33">
        <f t="shared" si="10"/>
        <v>0</v>
      </c>
      <c r="R63" s="34">
        <f t="shared" si="2"/>
        <v>3.2343428403410764E-2</v>
      </c>
      <c r="S63" s="33">
        <f t="shared" si="5"/>
        <v>0</v>
      </c>
      <c r="T63" s="16">
        <f t="shared" si="11"/>
        <v>9.9941228327945932</v>
      </c>
      <c r="U63" s="16">
        <f t="shared" si="12"/>
        <v>0.99502633118782913</v>
      </c>
      <c r="V63" s="101">
        <f t="shared" si="6"/>
        <v>9.9444153757561171</v>
      </c>
      <c r="W63" s="67" t="s">
        <v>220</v>
      </c>
    </row>
    <row r="64" spans="3:29" hidden="1">
      <c r="C64" s="66" t="s">
        <v>221</v>
      </c>
      <c r="D64" s="17" t="s">
        <v>222</v>
      </c>
      <c r="E64" s="17" t="s">
        <v>65</v>
      </c>
      <c r="F64" s="17">
        <v>955</v>
      </c>
      <c r="G64" s="17">
        <v>100</v>
      </c>
      <c r="H64" s="30">
        <f t="shared" si="7"/>
        <v>95500</v>
      </c>
      <c r="I64" s="31">
        <f>(14.9+27.7+19.8)/3</f>
        <v>20.8</v>
      </c>
      <c r="J64" s="32">
        <f t="shared" si="8"/>
        <v>0</v>
      </c>
      <c r="K64" s="31">
        <v>35.799999999999997</v>
      </c>
      <c r="L64" s="31">
        <v>186.7</v>
      </c>
      <c r="M64" s="17">
        <v>0</v>
      </c>
      <c r="N64" s="17">
        <v>5000</v>
      </c>
      <c r="O64" s="17" t="s">
        <v>223</v>
      </c>
      <c r="P64" s="33">
        <f t="shared" si="9"/>
        <v>0</v>
      </c>
      <c r="Q64" s="33">
        <f t="shared" si="10"/>
        <v>5.2356020942408377E-2</v>
      </c>
      <c r="R64" s="34">
        <f t="shared" si="2"/>
        <v>5.2356020942408377E-2</v>
      </c>
      <c r="S64" s="33">
        <f t="shared" si="5"/>
        <v>1</v>
      </c>
      <c r="T64" s="16">
        <f t="shared" si="11"/>
        <v>26.675977653631286</v>
      </c>
      <c r="U64" s="16">
        <f t="shared" si="12"/>
        <v>5.1151580074986613</v>
      </c>
      <c r="V64" s="101">
        <f t="shared" si="6"/>
        <v>136.45184070282741</v>
      </c>
      <c r="W64" s="67" t="s">
        <v>224</v>
      </c>
    </row>
    <row r="65" spans="3:27" hidden="1">
      <c r="C65" s="66" t="s">
        <v>225</v>
      </c>
      <c r="D65" s="17" t="s">
        <v>226</v>
      </c>
      <c r="E65" s="17" t="s">
        <v>60</v>
      </c>
      <c r="F65" s="17">
        <v>857</v>
      </c>
      <c r="G65" s="17">
        <v>100</v>
      </c>
      <c r="H65" s="30">
        <f t="shared" si="7"/>
        <v>85700</v>
      </c>
      <c r="I65" s="31">
        <f>(122.1+78.3+66)/3</f>
        <v>88.8</v>
      </c>
      <c r="J65" s="32">
        <f t="shared" si="8"/>
        <v>0.27027027027027029</v>
      </c>
      <c r="K65" s="31">
        <v>85.8</v>
      </c>
      <c r="L65" s="31">
        <v>1335</v>
      </c>
      <c r="M65" s="17">
        <v>24</v>
      </c>
      <c r="N65" s="17">
        <v>2000</v>
      </c>
      <c r="O65" s="17" t="s">
        <v>47</v>
      </c>
      <c r="P65" s="33">
        <f t="shared" si="9"/>
        <v>2.8004667444574097E-2</v>
      </c>
      <c r="Q65" s="33">
        <f t="shared" si="10"/>
        <v>2.3337222870478413E-2</v>
      </c>
      <c r="R65" s="34">
        <f t="shared" si="2"/>
        <v>5.1341890315052506E-2</v>
      </c>
      <c r="S65" s="33">
        <f t="shared" si="5"/>
        <v>0.45454545454545459</v>
      </c>
      <c r="T65" s="16">
        <f t="shared" si="11"/>
        <v>9.9883449883449895</v>
      </c>
      <c r="U65" s="16">
        <f t="shared" si="12"/>
        <v>0.6419475655430712</v>
      </c>
      <c r="V65" s="101">
        <f t="shared" si="6"/>
        <v>6.4119937490724022</v>
      </c>
      <c r="W65" s="67" t="s">
        <v>227</v>
      </c>
    </row>
    <row r="66" spans="3:27" hidden="1">
      <c r="C66" s="66" t="s">
        <v>228</v>
      </c>
      <c r="D66" s="17"/>
      <c r="E66" s="17"/>
      <c r="F66" s="17"/>
      <c r="G66" s="17"/>
      <c r="H66" s="30">
        <f t="shared" si="7"/>
        <v>0</v>
      </c>
      <c r="I66" s="31"/>
      <c r="J66" s="32" t="e">
        <f t="shared" si="8"/>
        <v>#DIV/0!</v>
      </c>
      <c r="K66" s="31"/>
      <c r="L66" s="31"/>
      <c r="M66" s="17"/>
      <c r="N66" s="17"/>
      <c r="O66" s="17"/>
      <c r="P66" s="33" t="e">
        <f t="shared" si="9"/>
        <v>#DIV/0!</v>
      </c>
      <c r="Q66" s="33" t="e">
        <f t="shared" si="10"/>
        <v>#DIV/0!</v>
      </c>
      <c r="R66" s="34" t="e">
        <f t="shared" si="2"/>
        <v>#DIV/0!</v>
      </c>
      <c r="S66" s="33" t="e">
        <f t="shared" si="5"/>
        <v>#DIV/0!</v>
      </c>
      <c r="T66" s="16" t="e">
        <f t="shared" si="11"/>
        <v>#DIV/0!</v>
      </c>
      <c r="U66" s="16" t="e">
        <f t="shared" si="12"/>
        <v>#DIV/0!</v>
      </c>
      <c r="V66" s="101" t="e">
        <f t="shared" si="6"/>
        <v>#DIV/0!</v>
      </c>
      <c r="W66" s="67"/>
    </row>
    <row r="67" spans="3:27" hidden="1">
      <c r="C67" s="66" t="s">
        <v>229</v>
      </c>
      <c r="D67" s="17"/>
      <c r="E67" s="17"/>
      <c r="F67" s="17"/>
      <c r="G67" s="17"/>
      <c r="H67" s="30">
        <f t="shared" si="7"/>
        <v>0</v>
      </c>
      <c r="I67" s="31"/>
      <c r="J67" s="32" t="e">
        <f t="shared" si="8"/>
        <v>#DIV/0!</v>
      </c>
      <c r="K67" s="31"/>
      <c r="L67" s="31"/>
      <c r="M67" s="17"/>
      <c r="N67" s="17"/>
      <c r="O67" s="17"/>
      <c r="P67" s="33" t="e">
        <f t="shared" si="9"/>
        <v>#DIV/0!</v>
      </c>
      <c r="Q67" s="33" t="e">
        <f t="shared" si="10"/>
        <v>#DIV/0!</v>
      </c>
      <c r="R67" s="34" t="e">
        <f t="shared" si="2"/>
        <v>#DIV/0!</v>
      </c>
      <c r="S67" s="33" t="e">
        <f t="shared" si="5"/>
        <v>#DIV/0!</v>
      </c>
      <c r="T67" s="16" t="e">
        <f t="shared" si="11"/>
        <v>#DIV/0!</v>
      </c>
      <c r="U67" s="16" t="e">
        <f t="shared" si="12"/>
        <v>#DIV/0!</v>
      </c>
      <c r="V67" s="101" t="e">
        <f t="shared" si="6"/>
        <v>#DIV/0!</v>
      </c>
      <c r="W67" s="67"/>
    </row>
    <row r="68" spans="3:27" hidden="1">
      <c r="C68" s="66" t="s">
        <v>230</v>
      </c>
      <c r="D68" s="17"/>
      <c r="E68" s="17"/>
      <c r="F68" s="17"/>
      <c r="G68" s="17"/>
      <c r="H68" s="30">
        <f t="shared" si="7"/>
        <v>0</v>
      </c>
      <c r="I68" s="31"/>
      <c r="J68" s="32" t="e">
        <f t="shared" si="8"/>
        <v>#DIV/0!</v>
      </c>
      <c r="K68" s="31"/>
      <c r="L68" s="31"/>
      <c r="M68" s="17"/>
      <c r="N68" s="17"/>
      <c r="O68" s="17"/>
      <c r="P68" s="33" t="e">
        <f t="shared" si="9"/>
        <v>#DIV/0!</v>
      </c>
      <c r="Q68" s="33" t="e">
        <f t="shared" si="10"/>
        <v>#DIV/0!</v>
      </c>
      <c r="R68" s="34" t="e">
        <f t="shared" si="2"/>
        <v>#DIV/0!</v>
      </c>
      <c r="S68" s="33" t="e">
        <f t="shared" si="5"/>
        <v>#DIV/0!</v>
      </c>
      <c r="T68" s="16" t="e">
        <f t="shared" si="11"/>
        <v>#DIV/0!</v>
      </c>
      <c r="U68" s="16" t="e">
        <f t="shared" si="12"/>
        <v>#DIV/0!</v>
      </c>
      <c r="V68" s="101" t="e">
        <f t="shared" si="6"/>
        <v>#DIV/0!</v>
      </c>
      <c r="W68" s="67"/>
    </row>
    <row r="69" spans="3:27" ht="15" hidden="1" customHeight="1">
      <c r="C69" s="66" t="s">
        <v>231</v>
      </c>
      <c r="D69" s="17" t="s">
        <v>232</v>
      </c>
      <c r="E69" s="17" t="s">
        <v>102</v>
      </c>
      <c r="F69" s="17">
        <v>535</v>
      </c>
      <c r="G69" s="17">
        <v>100</v>
      </c>
      <c r="H69" s="30">
        <f t="shared" si="7"/>
        <v>53500</v>
      </c>
      <c r="I69" s="31">
        <f>(13.8+25.9+29.3)/3</f>
        <v>23</v>
      </c>
      <c r="J69" s="32">
        <f t="shared" si="8"/>
        <v>0.56521739130434778</v>
      </c>
      <c r="K69" s="31">
        <v>44.5</v>
      </c>
      <c r="L69" s="31">
        <v>1092</v>
      </c>
      <c r="M69" s="17">
        <v>13</v>
      </c>
      <c r="N69" s="17">
        <v>3400</v>
      </c>
      <c r="O69" s="17" t="s">
        <v>233</v>
      </c>
      <c r="P69" s="33">
        <f t="shared" si="9"/>
        <v>2.4299065420560748E-2</v>
      </c>
      <c r="Q69" s="33">
        <f t="shared" si="10"/>
        <v>6.3551401869158877E-2</v>
      </c>
      <c r="R69" s="34">
        <f t="shared" si="2"/>
        <v>8.7850467289719625E-2</v>
      </c>
      <c r="S69" s="33">
        <f t="shared" si="5"/>
        <v>0.72340425531914898</v>
      </c>
      <c r="T69" s="16">
        <f t="shared" si="11"/>
        <v>12.02247191011236</v>
      </c>
      <c r="U69" s="16">
        <f t="shared" si="12"/>
        <v>0.48992673992673991</v>
      </c>
      <c r="V69" s="101">
        <f t="shared" si="6"/>
        <v>5.8901304687821545</v>
      </c>
      <c r="W69" s="67" t="s">
        <v>234</v>
      </c>
      <c r="AA69" t="s">
        <v>235</v>
      </c>
    </row>
    <row r="70" spans="3:27" s="39" customFormat="1" ht="62.4" customHeight="1" thickBot="1">
      <c r="C70" s="68">
        <f>株価指標!C70</f>
        <v>5976</v>
      </c>
      <c r="D70" s="95" t="str">
        <f>株価指標!$D$70</f>
        <v>高周波熱錬</v>
      </c>
      <c r="E70" s="69" t="s">
        <v>181</v>
      </c>
      <c r="F70" s="69">
        <v>1974</v>
      </c>
      <c r="G70" s="69">
        <v>100</v>
      </c>
      <c r="H70" s="69">
        <f t="shared" si="7"/>
        <v>197400</v>
      </c>
      <c r="I70" s="70">
        <f>(123.5+129.3+125.1)/3</f>
        <v>125.96666666666665</v>
      </c>
      <c r="J70" s="71">
        <f t="shared" si="8"/>
        <v>0.39693040486901299</v>
      </c>
      <c r="K70" s="70">
        <v>123</v>
      </c>
      <c r="L70" s="70">
        <v>1370</v>
      </c>
      <c r="M70" s="69">
        <v>50</v>
      </c>
      <c r="N70" s="69">
        <v>6000</v>
      </c>
      <c r="O70" s="82" t="s">
        <v>249</v>
      </c>
      <c r="P70" s="133">
        <f>株価指標!P70</f>
        <v>0</v>
      </c>
      <c r="Q70" s="133">
        <f>株価指標!Q70</f>
        <v>0</v>
      </c>
      <c r="R70" s="133">
        <f>株価指標!R70</f>
        <v>0</v>
      </c>
      <c r="S70" s="80" t="e">
        <f>株価指標!S70</f>
        <v>#DIV/0!</v>
      </c>
      <c r="T70" s="81" t="e">
        <f>株価指標!T70</f>
        <v>#DIV/0!</v>
      </c>
      <c r="U70" s="81" t="e">
        <f>株価指標!U70</f>
        <v>#DIV/0!</v>
      </c>
      <c r="V70" s="81" t="e">
        <f>株価指標!V70</f>
        <v>#DIV/0!</v>
      </c>
      <c r="W70" s="130" t="s">
        <v>275</v>
      </c>
    </row>
    <row r="71" spans="3:27" ht="15" hidden="1" customHeight="1">
      <c r="C71" s="51" t="s">
        <v>236</v>
      </c>
      <c r="D71" s="51" t="s">
        <v>237</v>
      </c>
      <c r="E71" s="51" t="s">
        <v>102</v>
      </c>
      <c r="F71" s="51">
        <v>1400</v>
      </c>
      <c r="G71" s="51">
        <v>100</v>
      </c>
      <c r="H71" s="52">
        <f t="shared" si="7"/>
        <v>140000</v>
      </c>
      <c r="I71" s="53">
        <f>(91.3+91+76.5)/3</f>
        <v>86.266666666666666</v>
      </c>
      <c r="J71" s="54">
        <f t="shared" si="8"/>
        <v>0.69551777434312212</v>
      </c>
      <c r="K71" s="53">
        <v>98.8</v>
      </c>
      <c r="L71" s="53">
        <v>348</v>
      </c>
      <c r="M71" s="51">
        <v>60</v>
      </c>
      <c r="N71" s="51">
        <v>1000</v>
      </c>
      <c r="O71" s="51" t="s">
        <v>47</v>
      </c>
      <c r="P71" s="73">
        <f t="shared" si="9"/>
        <v>4.2857142857142858E-2</v>
      </c>
      <c r="Q71" s="73">
        <f t="shared" si="10"/>
        <v>7.1428571428571426E-3</v>
      </c>
      <c r="R71" s="74">
        <f t="shared" si="2"/>
        <v>0.05</v>
      </c>
      <c r="S71" s="73">
        <f t="shared" si="5"/>
        <v>0.14285714285714285</v>
      </c>
      <c r="T71" s="75">
        <f t="shared" si="11"/>
        <v>14.17004048582996</v>
      </c>
      <c r="U71" s="75">
        <f t="shared" si="12"/>
        <v>4.0229885057471266</v>
      </c>
      <c r="V71" s="75">
        <f t="shared" si="6"/>
        <v>57.005910000465356</v>
      </c>
      <c r="W71" s="99"/>
    </row>
    <row r="72" spans="3:27" ht="15" hidden="1" customHeight="1">
      <c r="C72" s="17" t="s">
        <v>239</v>
      </c>
      <c r="D72" s="17" t="s">
        <v>240</v>
      </c>
      <c r="E72" s="17" t="s">
        <v>65</v>
      </c>
      <c r="F72" s="17">
        <v>570</v>
      </c>
      <c r="G72" s="17">
        <v>100</v>
      </c>
      <c r="H72" s="30">
        <f t="shared" si="7"/>
        <v>57000</v>
      </c>
      <c r="I72" s="31">
        <f>(43+36.8+18.2)/3</f>
        <v>32.666666666666664</v>
      </c>
      <c r="J72" s="32">
        <f t="shared" si="8"/>
        <v>0.39795918367346944</v>
      </c>
      <c r="K72" s="31">
        <v>30.3</v>
      </c>
      <c r="L72" s="31">
        <v>712.8</v>
      </c>
      <c r="M72" s="17">
        <v>13</v>
      </c>
      <c r="N72" s="17">
        <v>5500</v>
      </c>
      <c r="O72" s="17" t="s">
        <v>241</v>
      </c>
      <c r="P72" s="33">
        <f t="shared" si="9"/>
        <v>2.2807017543859651E-2</v>
      </c>
      <c r="Q72" s="33">
        <f t="shared" si="10"/>
        <v>9.6491228070175433E-2</v>
      </c>
      <c r="R72" s="34">
        <f t="shared" si="2"/>
        <v>0.11929824561403508</v>
      </c>
      <c r="S72" s="33">
        <f t="shared" si="5"/>
        <v>0.80882352941176472</v>
      </c>
      <c r="T72" s="16">
        <f t="shared" si="11"/>
        <v>18.811881188118811</v>
      </c>
      <c r="U72" s="16">
        <f t="shared" si="12"/>
        <v>0.79966329966329974</v>
      </c>
      <c r="V72" s="16">
        <f t="shared" si="6"/>
        <v>15.043170983765044</v>
      </c>
      <c r="W72" s="99"/>
    </row>
    <row r="73" spans="3:27" ht="7.2" hidden="1" customHeight="1">
      <c r="C73" s="17" t="s">
        <v>243</v>
      </c>
      <c r="D73" s="17" t="s">
        <v>244</v>
      </c>
      <c r="E73" s="17" t="s">
        <v>81</v>
      </c>
      <c r="F73" s="17">
        <v>1733</v>
      </c>
      <c r="G73" s="17">
        <v>300</v>
      </c>
      <c r="H73" s="30">
        <f t="shared" si="7"/>
        <v>519900</v>
      </c>
      <c r="I73" s="31">
        <f>(36+65.5+66.6)/3</f>
        <v>56.033333333333331</v>
      </c>
      <c r="J73" s="32">
        <f t="shared" si="8"/>
        <v>1.0707911957168352</v>
      </c>
      <c r="K73" s="31">
        <v>75.099999999999994</v>
      </c>
      <c r="L73" s="31">
        <v>1525</v>
      </c>
      <c r="M73" s="17">
        <v>60</v>
      </c>
      <c r="N73" s="17">
        <v>16000</v>
      </c>
      <c r="O73" s="17" t="s">
        <v>245</v>
      </c>
      <c r="P73" s="33">
        <f t="shared" si="9"/>
        <v>3.4622042700519329E-2</v>
      </c>
      <c r="Q73" s="33">
        <f t="shared" si="10"/>
        <v>3.0775149067128294E-2</v>
      </c>
      <c r="R73" s="34">
        <f t="shared" si="2"/>
        <v>6.5397191767647619E-2</v>
      </c>
      <c r="S73" s="33">
        <f t="shared" si="5"/>
        <v>0.4705882352941177</v>
      </c>
      <c r="T73" s="16">
        <f t="shared" si="11"/>
        <v>23.075898801597873</v>
      </c>
      <c r="U73" s="16">
        <f t="shared" si="12"/>
        <v>1.1363934426229507</v>
      </c>
      <c r="V73" s="16">
        <f t="shared" si="6"/>
        <v>26.223300080766631</v>
      </c>
      <c r="W73" s="99"/>
    </row>
    <row r="74" spans="3:27" ht="15" customHeight="1">
      <c r="H74" s="35">
        <f>SUM(H11:H73)</f>
        <v>6283379</v>
      </c>
    </row>
    <row r="75" spans="3:27" ht="15" customHeight="1"/>
    <row r="76" spans="3:27" ht="15" customHeight="1"/>
    <row r="77" spans="3:27" ht="15" customHeight="1"/>
    <row r="78" spans="3:27" ht="15" customHeight="1"/>
    <row r="79" spans="3:27" ht="15" customHeight="1"/>
    <row r="80" spans="3:27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</sheetData>
  <phoneticPr fontId="4"/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E3592-7986-4152-B473-6A32E869BD0B}">
  <dimension ref="E1:S25"/>
  <sheetViews>
    <sheetView showGridLines="0" topLeftCell="B1" zoomScale="55" zoomScaleNormal="55" workbookViewId="0">
      <selection activeCell="AR33" sqref="AR33"/>
    </sheetView>
  </sheetViews>
  <sheetFormatPr defaultRowHeight="18"/>
  <cols>
    <col min="3" max="5" width="0" hidden="1" customWidth="1"/>
    <col min="6" max="6" width="10.59765625" hidden="1" customWidth="1"/>
    <col min="7" max="7" width="10.796875" hidden="1" customWidth="1"/>
    <col min="8" max="8" width="10.296875" hidden="1" customWidth="1"/>
    <col min="9" max="11" width="13.296875" hidden="1" customWidth="1"/>
    <col min="12" max="13" width="12.59765625" hidden="1" customWidth="1"/>
    <col min="14" max="15" width="0" hidden="1" customWidth="1"/>
  </cols>
  <sheetData>
    <row r="1" spans="5:15" ht="26.4" customHeight="1" thickBot="1">
      <c r="E1" s="223" t="str" cm="1">
        <f t="array" aca="1" ref="E1" ca="1">INDIRECT("株価指標!D70")&amp;"の業績"</f>
        <v>高周波熱錬の業績</v>
      </c>
      <c r="F1" s="223"/>
      <c r="G1" s="223"/>
      <c r="H1" s="223"/>
      <c r="I1" s="223"/>
      <c r="J1" s="223"/>
      <c r="K1" s="223"/>
      <c r="L1" s="223"/>
      <c r="M1" s="223"/>
    </row>
    <row r="2" spans="5:15" ht="40.200000000000003" customHeight="1">
      <c r="E2" s="134" t="s">
        <v>251</v>
      </c>
      <c r="F2" s="135" t="s">
        <v>299</v>
      </c>
      <c r="G2" s="135" t="s">
        <v>300</v>
      </c>
      <c r="H2" s="135" t="s">
        <v>276</v>
      </c>
      <c r="I2" s="135" t="s">
        <v>253</v>
      </c>
      <c r="J2" s="145" t="s">
        <v>301</v>
      </c>
      <c r="K2" s="145" t="s">
        <v>277</v>
      </c>
      <c r="L2" s="135" t="s">
        <v>303</v>
      </c>
      <c r="M2" s="136" t="s">
        <v>304</v>
      </c>
    </row>
    <row r="3" spans="5:15" ht="18" customHeight="1">
      <c r="E3" s="137" t="s">
        <v>255</v>
      </c>
      <c r="F3" s="203">
        <v>3323.87</v>
      </c>
      <c r="G3" s="204">
        <v>984.26</v>
      </c>
      <c r="H3" s="204">
        <v>914.19</v>
      </c>
      <c r="I3" s="138"/>
      <c r="J3" s="146">
        <f>G3/F3</f>
        <v>0.29611868093517496</v>
      </c>
      <c r="K3" s="146">
        <f>H3/F3</f>
        <v>0.27503783240620122</v>
      </c>
      <c r="L3" s="138">
        <f>G3/$G$3-1</f>
        <v>0</v>
      </c>
      <c r="M3" s="139">
        <f>H3/$H$3-1</f>
        <v>0</v>
      </c>
    </row>
    <row r="4" spans="5:15" ht="18" customHeight="1">
      <c r="E4" s="137" t="s">
        <v>256</v>
      </c>
      <c r="F4" s="203">
        <v>3901.95</v>
      </c>
      <c r="G4" s="204">
        <v>1174.71</v>
      </c>
      <c r="H4" s="204">
        <v>1142.99</v>
      </c>
      <c r="I4" s="84">
        <f>H4-221</f>
        <v>921.99</v>
      </c>
      <c r="J4" s="146">
        <f t="shared" ref="J4:J14" si="0">G4/F4</f>
        <v>0.30105716372582941</v>
      </c>
      <c r="K4" s="146">
        <f t="shared" ref="K4:K14" si="1">H4/F4</f>
        <v>0.29292789502684558</v>
      </c>
      <c r="L4" s="122">
        <f>G4/$G$3-1</f>
        <v>0.19349562107573215</v>
      </c>
      <c r="M4" s="94">
        <f>H4/$H$3-1</f>
        <v>0.25027620078977009</v>
      </c>
    </row>
    <row r="5" spans="5:15" ht="18" customHeight="1">
      <c r="E5" s="137" t="s">
        <v>257</v>
      </c>
      <c r="F5" s="203">
        <v>3382.14</v>
      </c>
      <c r="G5" s="204">
        <v>616.38</v>
      </c>
      <c r="H5" s="204">
        <v>568.54999999999995</v>
      </c>
      <c r="I5" s="84">
        <f t="shared" ref="I5:I14" si="2">H5-H4</f>
        <v>-574.44000000000005</v>
      </c>
      <c r="J5" s="146">
        <f t="shared" si="0"/>
        <v>0.18224556050311341</v>
      </c>
      <c r="K5" s="146">
        <f t="shared" si="1"/>
        <v>0.1681036266978895</v>
      </c>
      <c r="L5" s="122">
        <f t="shared" ref="L5:L14" si="3">G5/$G$3-1</f>
        <v>-0.3737630300936744</v>
      </c>
      <c r="M5" s="94">
        <f t="shared" ref="M5:M14" si="4">H5/$H$3-1</f>
        <v>-0.37808333059867216</v>
      </c>
    </row>
    <row r="6" spans="5:15" ht="18" customHeight="1">
      <c r="E6" s="137" t="s">
        <v>258</v>
      </c>
      <c r="F6" s="203">
        <v>2873.03</v>
      </c>
      <c r="G6" s="204">
        <v>249.67</v>
      </c>
      <c r="H6" s="204">
        <v>227.67</v>
      </c>
      <c r="I6" s="84">
        <f t="shared" si="2"/>
        <v>-340.88</v>
      </c>
      <c r="J6" s="146">
        <f t="shared" si="0"/>
        <v>8.6901285402519277E-2</v>
      </c>
      <c r="K6" s="146">
        <f t="shared" si="1"/>
        <v>7.9243864491495036E-2</v>
      </c>
      <c r="L6" s="122">
        <f t="shared" si="3"/>
        <v>-0.746337349887225</v>
      </c>
      <c r="M6" s="94">
        <f t="shared" si="4"/>
        <v>-0.75095986611098353</v>
      </c>
    </row>
    <row r="7" spans="5:15" ht="18" customHeight="1">
      <c r="E7" s="137" t="s">
        <v>259</v>
      </c>
      <c r="F7" s="203">
        <v>2525.48</v>
      </c>
      <c r="G7" s="204">
        <v>161.69999999999999</v>
      </c>
      <c r="H7" s="204">
        <v>143.72</v>
      </c>
      <c r="I7" s="84">
        <f t="shared" si="2"/>
        <v>-83.949999999999989</v>
      </c>
      <c r="J7" s="146">
        <f t="shared" si="0"/>
        <v>6.4027432408888599E-2</v>
      </c>
      <c r="K7" s="146">
        <f t="shared" si="1"/>
        <v>5.6907993727924988E-2</v>
      </c>
      <c r="L7" s="122">
        <f t="shared" si="3"/>
        <v>-0.83571414057261295</v>
      </c>
      <c r="M7" s="94">
        <f t="shared" si="4"/>
        <v>-0.84278979205635585</v>
      </c>
    </row>
    <row r="8" spans="5:15" ht="18" customHeight="1">
      <c r="E8" s="137" t="s">
        <v>260</v>
      </c>
      <c r="F8" s="203">
        <v>1926.92</v>
      </c>
      <c r="G8" s="204">
        <v>52.23</v>
      </c>
      <c r="H8" s="204">
        <v>68.83</v>
      </c>
      <c r="I8" s="84">
        <f t="shared" si="2"/>
        <v>-74.89</v>
      </c>
      <c r="J8" s="146">
        <f t="shared" si="0"/>
        <v>2.7105432503684634E-2</v>
      </c>
      <c r="K8" s="146">
        <f t="shared" si="1"/>
        <v>3.5720216718908931E-2</v>
      </c>
      <c r="L8" s="122">
        <f t="shared" si="3"/>
        <v>-0.94693475301241548</v>
      </c>
      <c r="M8" s="94">
        <f t="shared" si="4"/>
        <v>-0.92470930550542008</v>
      </c>
    </row>
    <row r="9" spans="5:15" ht="18" customHeight="1">
      <c r="E9" s="137" t="s">
        <v>261</v>
      </c>
      <c r="F9" s="203">
        <v>2511.77</v>
      </c>
      <c r="G9" s="204">
        <v>220.34</v>
      </c>
      <c r="H9" s="204">
        <v>142.72</v>
      </c>
      <c r="I9" s="84">
        <f t="shared" si="2"/>
        <v>73.89</v>
      </c>
      <c r="J9" s="146">
        <f t="shared" si="0"/>
        <v>8.7723000115456432E-2</v>
      </c>
      <c r="K9" s="146">
        <f t="shared" si="1"/>
        <v>5.6820489137142334E-2</v>
      </c>
      <c r="L9" s="122">
        <f t="shared" si="3"/>
        <v>-0.77613638672708429</v>
      </c>
      <c r="M9" s="94">
        <f t="shared" si="4"/>
        <v>-0.84388365657029718</v>
      </c>
    </row>
    <row r="10" spans="5:15" ht="18" customHeight="1">
      <c r="E10" s="137" t="s">
        <v>262</v>
      </c>
      <c r="F10" s="203">
        <v>2394.11</v>
      </c>
      <c r="G10" s="203">
        <v>195.71</v>
      </c>
      <c r="H10" s="203">
        <v>139.66999999999999</v>
      </c>
      <c r="I10" s="84">
        <f t="shared" si="2"/>
        <v>-3.0500000000000114</v>
      </c>
      <c r="J10" s="146">
        <f t="shared" si="0"/>
        <v>8.1746452752797488E-2</v>
      </c>
      <c r="K10" s="146">
        <f t="shared" si="1"/>
        <v>5.8339006979629168E-2</v>
      </c>
      <c r="L10" s="122">
        <f t="shared" si="3"/>
        <v>-0.80116026253225769</v>
      </c>
      <c r="M10" s="94">
        <f t="shared" si="4"/>
        <v>-0.84721994333781825</v>
      </c>
    </row>
    <row r="11" spans="5:15" ht="18" customHeight="1">
      <c r="E11" s="137" t="s">
        <v>263</v>
      </c>
      <c r="F11" s="203">
        <v>2824.47</v>
      </c>
      <c r="G11" s="203">
        <v>322.01</v>
      </c>
      <c r="H11" s="203">
        <v>341.3</v>
      </c>
      <c r="I11" s="84">
        <f t="shared" si="2"/>
        <v>201.63000000000002</v>
      </c>
      <c r="J11" s="146">
        <f t="shared" si="0"/>
        <v>0.11400722967494788</v>
      </c>
      <c r="K11" s="146">
        <f t="shared" si="1"/>
        <v>0.12083682956448467</v>
      </c>
      <c r="L11" s="122">
        <f t="shared" si="3"/>
        <v>-0.67284050962144148</v>
      </c>
      <c r="M11" s="94">
        <f t="shared" si="4"/>
        <v>-0.62666404139183318</v>
      </c>
    </row>
    <row r="12" spans="5:15" ht="18" customHeight="1">
      <c r="E12" s="137" t="s">
        <v>264</v>
      </c>
      <c r="F12" s="203">
        <v>3003.26</v>
      </c>
      <c r="G12" s="203">
        <v>248.65</v>
      </c>
      <c r="H12" s="203">
        <v>198.32</v>
      </c>
      <c r="I12" s="84">
        <f t="shared" si="2"/>
        <v>-142.98000000000002</v>
      </c>
      <c r="J12" s="146">
        <f t="shared" si="0"/>
        <v>8.2793364543862338E-2</v>
      </c>
      <c r="K12" s="146">
        <f t="shared" si="1"/>
        <v>6.6034908732510667E-2</v>
      </c>
      <c r="L12" s="122">
        <f t="shared" si="3"/>
        <v>-0.74737366143092276</v>
      </c>
      <c r="M12" s="94">
        <f t="shared" si="4"/>
        <v>-0.78306478959516079</v>
      </c>
      <c r="O12" s="83"/>
    </row>
    <row r="13" spans="5:15" ht="18" customHeight="1">
      <c r="E13" s="137" t="s">
        <v>294</v>
      </c>
      <c r="F13" s="203">
        <v>2571.89</v>
      </c>
      <c r="G13" s="204">
        <v>159.37</v>
      </c>
      <c r="H13" s="204">
        <v>153.72999999999999</v>
      </c>
      <c r="I13" s="84">
        <f t="shared" si="2"/>
        <v>-44.59</v>
      </c>
      <c r="J13" s="146">
        <f t="shared" si="0"/>
        <v>6.1966102749339981E-2</v>
      </c>
      <c r="K13" s="146">
        <f t="shared" si="1"/>
        <v>5.977316292687479E-2</v>
      </c>
      <c r="L13" s="122">
        <f t="shared" si="3"/>
        <v>-0.8380814012557658</v>
      </c>
      <c r="M13" s="94">
        <f t="shared" si="4"/>
        <v>-0.83184020827180349</v>
      </c>
    </row>
    <row r="14" spans="5:15" ht="18" customHeight="1" thickBot="1">
      <c r="E14" s="214" t="s">
        <v>302</v>
      </c>
      <c r="F14" s="215">
        <v>2300</v>
      </c>
      <c r="G14" s="216">
        <v>120</v>
      </c>
      <c r="H14" s="216">
        <v>110</v>
      </c>
      <c r="I14" s="217">
        <f t="shared" si="2"/>
        <v>-43.72999999999999</v>
      </c>
      <c r="J14" s="218">
        <f t="shared" si="0"/>
        <v>5.2173913043478258E-2</v>
      </c>
      <c r="K14" s="218">
        <f t="shared" si="1"/>
        <v>4.7826086956521741E-2</v>
      </c>
      <c r="L14" s="219">
        <f t="shared" si="3"/>
        <v>-0.87808099485908198</v>
      </c>
      <c r="M14" s="220">
        <f t="shared" si="4"/>
        <v>-0.8796749034664566</v>
      </c>
    </row>
    <row r="25" spans="19:19">
      <c r="S25" s="83"/>
    </row>
  </sheetData>
  <mergeCells count="1">
    <mergeCell ref="E1:M1"/>
  </mergeCells>
  <phoneticPr fontId="4"/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DED6A-5589-477B-9845-399905BD4A5E}">
  <dimension ref="E1:T16"/>
  <sheetViews>
    <sheetView showGridLines="0" topLeftCell="A25" zoomScale="55" zoomScaleNormal="55" workbookViewId="0">
      <selection activeCell="AQ25" sqref="AQ25"/>
    </sheetView>
  </sheetViews>
  <sheetFormatPr defaultRowHeight="18"/>
  <cols>
    <col min="3" max="4" width="0" hidden="1" customWidth="1"/>
    <col min="5" max="5" width="6.8984375" hidden="1" customWidth="1"/>
    <col min="6" max="9" width="11.09765625" hidden="1" customWidth="1"/>
    <col min="10" max="11" width="12.3984375" hidden="1" customWidth="1"/>
    <col min="12" max="13" width="12" hidden="1" customWidth="1"/>
    <col min="14" max="15" width="0" hidden="1" customWidth="1"/>
  </cols>
  <sheetData>
    <row r="1" spans="5:20" ht="28.8" customHeight="1" thickBot="1">
      <c r="E1" s="223" t="str" cm="1">
        <f t="array" aca="1" ref="E1" ca="1">INDIRECT("株価指標!D70")&amp;"の財務分析"</f>
        <v>高周波熱錬の財務分析</v>
      </c>
      <c r="F1" s="223"/>
      <c r="G1" s="223"/>
      <c r="H1" s="223"/>
      <c r="I1" s="223"/>
      <c r="J1" s="223"/>
      <c r="K1" s="223"/>
      <c r="L1" s="223"/>
    </row>
    <row r="2" spans="5:20" ht="38.4" customHeight="1">
      <c r="E2" s="85" t="s">
        <v>251</v>
      </c>
      <c r="F2" s="86" t="s">
        <v>279</v>
      </c>
      <c r="G2" s="86" t="s">
        <v>305</v>
      </c>
      <c r="H2" s="86" t="s">
        <v>252</v>
      </c>
      <c r="I2" s="86" t="s">
        <v>280</v>
      </c>
      <c r="J2" s="86" t="s">
        <v>281</v>
      </c>
      <c r="K2" s="86" t="s">
        <v>282</v>
      </c>
      <c r="L2" s="86" t="s">
        <v>253</v>
      </c>
      <c r="M2" s="87" t="s">
        <v>254</v>
      </c>
    </row>
    <row r="3" spans="5:20" ht="17.399999999999999" customHeight="1">
      <c r="E3" s="96" t="s">
        <v>255</v>
      </c>
      <c r="F3" s="201">
        <v>6464.43</v>
      </c>
      <c r="G3" s="201">
        <v>4063.14</v>
      </c>
      <c r="H3" s="201">
        <v>3400.13</v>
      </c>
      <c r="I3" s="201">
        <v>916.67</v>
      </c>
      <c r="J3" s="147">
        <f>G3/F3</f>
        <v>0.62853801495259443</v>
      </c>
      <c r="K3" s="147">
        <f>I3/F3</f>
        <v>0.14180213878099074</v>
      </c>
      <c r="L3" s="97"/>
      <c r="M3" s="98"/>
    </row>
    <row r="4" spans="5:20" ht="17.399999999999999" customHeight="1">
      <c r="E4" s="88" t="s">
        <v>256</v>
      </c>
      <c r="F4" s="201">
        <v>6926.22</v>
      </c>
      <c r="G4" s="201">
        <v>4969.34</v>
      </c>
      <c r="H4" s="201">
        <v>4033.55</v>
      </c>
      <c r="I4" s="201">
        <v>1163.6600000000001</v>
      </c>
      <c r="J4" s="147">
        <f t="shared" ref="J4:J14" si="0">G4/F4</f>
        <v>0.71746782516293162</v>
      </c>
      <c r="K4" s="147">
        <f t="shared" ref="K4:K14" si="1">I4/F4</f>
        <v>0.16800794661445925</v>
      </c>
      <c r="L4" s="123">
        <f t="shared" ref="L4:L14" si="2">H4-H3</f>
        <v>633.42000000000007</v>
      </c>
      <c r="M4" s="110">
        <f t="shared" ref="M4:M14" si="3">L4/H4</f>
        <v>0.15703784507443816</v>
      </c>
    </row>
    <row r="5" spans="5:20" ht="17.399999999999999" customHeight="1">
      <c r="E5" s="96" t="s">
        <v>257</v>
      </c>
      <c r="F5" s="201">
        <v>6870.69</v>
      </c>
      <c r="G5" s="201">
        <v>4820.37</v>
      </c>
      <c r="H5" s="201">
        <v>4157.99</v>
      </c>
      <c r="I5" s="201">
        <v>1052.0899999999999</v>
      </c>
      <c r="J5" s="147">
        <f t="shared" si="0"/>
        <v>0.70158455700955802</v>
      </c>
      <c r="K5" s="147">
        <f t="shared" si="1"/>
        <v>0.15312726960465398</v>
      </c>
      <c r="L5" s="123">
        <f t="shared" si="2"/>
        <v>124.4399999999996</v>
      </c>
      <c r="M5" s="110">
        <f t="shared" si="3"/>
        <v>2.9927921904573992E-2</v>
      </c>
    </row>
    <row r="6" spans="5:20" ht="17.399999999999999" customHeight="1">
      <c r="E6" s="88" t="s">
        <v>258</v>
      </c>
      <c r="F6" s="201">
        <v>6973.85</v>
      </c>
      <c r="G6" s="201">
        <v>4846.57</v>
      </c>
      <c r="H6" s="201">
        <v>4184.1899999999996</v>
      </c>
      <c r="I6" s="201">
        <v>1217.4000000000001</v>
      </c>
      <c r="J6" s="147">
        <f t="shared" si="0"/>
        <v>0.69496332728693611</v>
      </c>
      <c r="K6" s="147">
        <f t="shared" si="1"/>
        <v>0.17456641596822414</v>
      </c>
      <c r="L6" s="123">
        <f t="shared" si="2"/>
        <v>26.199999999999818</v>
      </c>
      <c r="M6" s="110">
        <f t="shared" si="3"/>
        <v>6.26166593773223E-3</v>
      </c>
    </row>
    <row r="7" spans="5:20" ht="17.399999999999999" customHeight="1">
      <c r="E7" s="96" t="s">
        <v>259</v>
      </c>
      <c r="F7" s="201">
        <v>7070.21</v>
      </c>
      <c r="G7" s="201">
        <v>4891.24</v>
      </c>
      <c r="H7" s="201">
        <v>4228.93</v>
      </c>
      <c r="I7" s="201">
        <v>1238.8699999999999</v>
      </c>
      <c r="J7" s="147">
        <f t="shared" si="0"/>
        <v>0.69180971993759732</v>
      </c>
      <c r="K7" s="147">
        <f t="shared" si="1"/>
        <v>0.17522393252817101</v>
      </c>
      <c r="L7" s="123">
        <f t="shared" si="2"/>
        <v>44.740000000000691</v>
      </c>
      <c r="M7" s="110">
        <f t="shared" si="3"/>
        <v>1.0579508291695698E-2</v>
      </c>
    </row>
    <row r="8" spans="5:20" ht="17.399999999999999" customHeight="1">
      <c r="E8" s="88" t="s">
        <v>260</v>
      </c>
      <c r="F8" s="201">
        <v>7269.37</v>
      </c>
      <c r="G8" s="201">
        <v>4936.4799999999996</v>
      </c>
      <c r="H8" s="201">
        <v>4274.3100000000004</v>
      </c>
      <c r="I8" s="201">
        <v>1338.56</v>
      </c>
      <c r="J8" s="147">
        <f t="shared" si="0"/>
        <v>0.67907948006498497</v>
      </c>
      <c r="K8" s="147">
        <f t="shared" si="1"/>
        <v>0.18413700224366072</v>
      </c>
      <c r="L8" s="123">
        <f t="shared" si="2"/>
        <v>45.380000000000109</v>
      </c>
      <c r="M8" s="110">
        <f t="shared" si="3"/>
        <v>1.0616918286226339E-2</v>
      </c>
    </row>
    <row r="9" spans="5:20" ht="17.399999999999999" customHeight="1">
      <c r="E9" s="96" t="s">
        <v>261</v>
      </c>
      <c r="F9" s="201">
        <v>6939.17</v>
      </c>
      <c r="G9" s="201">
        <v>4906.24</v>
      </c>
      <c r="H9" s="201">
        <v>4244.41</v>
      </c>
      <c r="I9" s="201">
        <v>1261.67</v>
      </c>
      <c r="J9" s="147">
        <f t="shared" si="0"/>
        <v>0.70703556765434483</v>
      </c>
      <c r="K9" s="147">
        <f t="shared" si="1"/>
        <v>0.18181857484396549</v>
      </c>
      <c r="L9" s="123">
        <f t="shared" si="2"/>
        <v>-29.900000000000546</v>
      </c>
      <c r="M9" s="110">
        <f t="shared" si="3"/>
        <v>-7.0445597856947251E-3</v>
      </c>
    </row>
    <row r="10" spans="5:20" ht="17.399999999999999" customHeight="1">
      <c r="E10" s="88" t="s">
        <v>262</v>
      </c>
      <c r="F10" s="201">
        <v>7644.2</v>
      </c>
      <c r="G10" s="201">
        <v>5098.3599999999997</v>
      </c>
      <c r="H10" s="201">
        <v>4436.67</v>
      </c>
      <c r="I10" s="201">
        <v>1138.3499999999999</v>
      </c>
      <c r="J10" s="147">
        <f t="shared" si="0"/>
        <v>0.66695795505088817</v>
      </c>
      <c r="K10" s="147">
        <f t="shared" si="1"/>
        <v>0.14891682582873289</v>
      </c>
      <c r="L10" s="123">
        <f t="shared" si="2"/>
        <v>192.26000000000022</v>
      </c>
      <c r="M10" s="110">
        <f t="shared" si="3"/>
        <v>4.3334302528698375E-2</v>
      </c>
    </row>
    <row r="11" spans="5:20" ht="17.399999999999999" customHeight="1">
      <c r="E11" s="96" t="s">
        <v>263</v>
      </c>
      <c r="F11" s="201">
        <v>7253.2</v>
      </c>
      <c r="G11" s="201">
        <v>5051.21</v>
      </c>
      <c r="H11" s="201">
        <v>4489.09</v>
      </c>
      <c r="I11" s="201">
        <v>1162.48</v>
      </c>
      <c r="J11" s="147">
        <f t="shared" si="0"/>
        <v>0.69641123917719083</v>
      </c>
      <c r="K11" s="147">
        <f t="shared" si="1"/>
        <v>0.16027132851706832</v>
      </c>
      <c r="L11" s="123">
        <f t="shared" si="2"/>
        <v>52.420000000000073</v>
      </c>
      <c r="M11" s="110">
        <f t="shared" si="3"/>
        <v>1.1677199610611521E-2</v>
      </c>
    </row>
    <row r="12" spans="5:20" ht="17.399999999999999" customHeight="1">
      <c r="E12" s="88" t="s">
        <v>264</v>
      </c>
      <c r="F12" s="201">
        <v>6648</v>
      </c>
      <c r="G12" s="201">
        <v>4618.1499999999996</v>
      </c>
      <c r="H12" s="201">
        <v>4055.6</v>
      </c>
      <c r="I12" s="201">
        <v>1009.77</v>
      </c>
      <c r="J12" s="147">
        <f t="shared" si="0"/>
        <v>0.6946675691937424</v>
      </c>
      <c r="K12" s="147">
        <f t="shared" si="1"/>
        <v>0.1518907942238267</v>
      </c>
      <c r="L12" s="123">
        <f>H12-H11</f>
        <v>-433.49000000000024</v>
      </c>
      <c r="M12" s="110">
        <f t="shared" si="3"/>
        <v>-0.10688677384357438</v>
      </c>
      <c r="O12" s="83"/>
    </row>
    <row r="13" spans="5:20" ht="17.399999999999999" hidden="1" customHeight="1">
      <c r="E13" s="88" t="s">
        <v>294</v>
      </c>
      <c r="F13" s="201"/>
      <c r="G13" s="201"/>
      <c r="H13" s="201"/>
      <c r="I13" s="201"/>
      <c r="J13" s="213" t="e">
        <f t="shared" si="0"/>
        <v>#DIV/0!</v>
      </c>
      <c r="K13" s="213" t="e">
        <f t="shared" si="1"/>
        <v>#DIV/0!</v>
      </c>
      <c r="L13" s="123">
        <f t="shared" si="2"/>
        <v>-4055.6</v>
      </c>
      <c r="M13" s="110" t="e">
        <f t="shared" si="3"/>
        <v>#DIV/0!</v>
      </c>
    </row>
    <row r="14" spans="5:20" ht="17.399999999999999" hidden="1" customHeight="1" thickBot="1">
      <c r="E14" s="208" t="s">
        <v>294</v>
      </c>
      <c r="F14" s="209"/>
      <c r="G14" s="209"/>
      <c r="H14" s="209"/>
      <c r="I14" s="209"/>
      <c r="J14" s="210" t="e">
        <f t="shared" si="0"/>
        <v>#DIV/0!</v>
      </c>
      <c r="K14" s="210" t="e">
        <f t="shared" si="1"/>
        <v>#DIV/0!</v>
      </c>
      <c r="L14" s="211">
        <f t="shared" si="2"/>
        <v>0</v>
      </c>
      <c r="M14" s="212" t="e">
        <f t="shared" si="3"/>
        <v>#DIV/0!</v>
      </c>
    </row>
    <row r="15" spans="5:20" ht="22.2">
      <c r="G15" s="206"/>
    </row>
    <row r="16" spans="5:20">
      <c r="T16" s="205"/>
    </row>
  </sheetData>
  <mergeCells count="1">
    <mergeCell ref="E1:L1"/>
  </mergeCells>
  <phoneticPr fontId="4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F8659-6B41-49CA-B4AA-0780CCFED851}">
  <dimension ref="E1:P14"/>
  <sheetViews>
    <sheetView showGridLines="0" tabSelected="1" topLeftCell="B1" zoomScale="70" zoomScaleNormal="70" workbookViewId="0">
      <selection activeCell="N7" sqref="N7"/>
    </sheetView>
  </sheetViews>
  <sheetFormatPr defaultRowHeight="18"/>
  <cols>
    <col min="6" max="6" width="10.296875" customWidth="1"/>
    <col min="7" max="7" width="10.69921875" customWidth="1"/>
    <col min="8" max="8" width="10.796875" customWidth="1"/>
    <col min="9" max="9" width="13.296875" hidden="1" customWidth="1"/>
    <col min="10" max="11" width="13.296875" customWidth="1"/>
    <col min="12" max="12" width="14.69921875" hidden="1" customWidth="1"/>
    <col min="13" max="14" width="14.69921875" customWidth="1"/>
  </cols>
  <sheetData>
    <row r="1" spans="5:16" ht="20.399999999999999" thickBot="1">
      <c r="E1" s="224" t="str" cm="1">
        <f t="array" aca="1" ref="E1" ca="1">INDIRECT("株価指標!D70")&amp;"の配当金、自社株買い"</f>
        <v>高周波熱錬の配当金、自社株買い</v>
      </c>
      <c r="F1" s="224"/>
      <c r="G1" s="224"/>
      <c r="H1" s="224"/>
      <c r="I1" s="224"/>
      <c r="J1" s="224"/>
      <c r="K1" s="224"/>
    </row>
    <row r="2" spans="5:16" ht="37.200000000000003" customHeight="1">
      <c r="E2" s="85" t="s">
        <v>251</v>
      </c>
      <c r="F2" s="86" t="s">
        <v>269</v>
      </c>
      <c r="G2" s="86" t="s">
        <v>265</v>
      </c>
      <c r="H2" s="86" t="s">
        <v>266</v>
      </c>
      <c r="I2" s="86" t="s">
        <v>253</v>
      </c>
      <c r="J2" s="86" t="s">
        <v>278</v>
      </c>
      <c r="K2" s="87" t="s">
        <v>267</v>
      </c>
      <c r="L2" s="91" t="s">
        <v>268</v>
      </c>
      <c r="M2" s="140"/>
      <c r="N2" s="140"/>
    </row>
    <row r="3" spans="5:16" ht="18.600000000000001" customHeight="1">
      <c r="E3" s="88" t="s">
        <v>256</v>
      </c>
      <c r="F3" s="202">
        <v>8.0000000000000002E-3</v>
      </c>
      <c r="G3" s="202">
        <v>13</v>
      </c>
      <c r="H3" s="194">
        <f t="shared" ref="H3:H13" si="0">G3/J3</f>
        <v>0.23284972237148488</v>
      </c>
      <c r="I3" s="84" t="e">
        <f>#REF!-#REF!</f>
        <v>#REF!</v>
      </c>
      <c r="J3" s="192">
        <v>55.83</v>
      </c>
      <c r="K3" s="94">
        <v>1</v>
      </c>
      <c r="L3" s="92" t="e">
        <f>#REF!</f>
        <v>#REF!</v>
      </c>
      <c r="M3" s="141"/>
      <c r="N3" s="141"/>
    </row>
    <row r="4" spans="5:16" ht="18.600000000000001" customHeight="1">
      <c r="E4" s="88" t="s">
        <v>257</v>
      </c>
      <c r="F4" s="202">
        <v>4.4000000000000003E-3</v>
      </c>
      <c r="G4" s="222">
        <v>13</v>
      </c>
      <c r="H4" s="194">
        <f t="shared" si="0"/>
        <v>0.38438793613246597</v>
      </c>
      <c r="I4" s="84" t="e">
        <f>#REF!-#REF!</f>
        <v>#REF!</v>
      </c>
      <c r="J4" s="192">
        <v>33.82</v>
      </c>
      <c r="K4" s="109">
        <f t="shared" ref="K4:K13" si="1">G4/G3</f>
        <v>1</v>
      </c>
      <c r="L4" s="92" t="e">
        <f>#REF!+L3</f>
        <v>#REF!</v>
      </c>
      <c r="M4" s="141"/>
      <c r="N4" s="141"/>
    </row>
    <row r="5" spans="5:16" ht="18.600000000000001" customHeight="1">
      <c r="E5" s="88" t="s">
        <v>258</v>
      </c>
      <c r="F5" s="202">
        <v>4.3E-3</v>
      </c>
      <c r="G5" s="222">
        <v>14.5</v>
      </c>
      <c r="H5" s="194">
        <f t="shared" si="0"/>
        <v>0.18100112345524905</v>
      </c>
      <c r="I5" s="84" t="e">
        <f>#REF!-#REF!</f>
        <v>#REF!</v>
      </c>
      <c r="J5" s="192">
        <v>80.11</v>
      </c>
      <c r="K5" s="109">
        <f t="shared" si="1"/>
        <v>1.1153846153846154</v>
      </c>
      <c r="L5" s="92" t="e">
        <f>#REF!+L4</f>
        <v>#REF!</v>
      </c>
      <c r="M5" s="141"/>
      <c r="N5" s="141"/>
    </row>
    <row r="6" spans="5:16" ht="18.600000000000001" customHeight="1">
      <c r="E6" s="88" t="s">
        <v>259</v>
      </c>
      <c r="F6" s="202"/>
      <c r="G6" s="222">
        <v>15</v>
      </c>
      <c r="H6" s="194">
        <f t="shared" si="0"/>
        <v>0.17886954447889339</v>
      </c>
      <c r="I6" s="84" t="e">
        <f>#REF!-#REF!</f>
        <v>#REF!</v>
      </c>
      <c r="J6" s="192">
        <v>83.86</v>
      </c>
      <c r="K6" s="109">
        <f t="shared" si="1"/>
        <v>1.0344827586206897</v>
      </c>
      <c r="L6" s="92" t="e">
        <f>#REF!+L5</f>
        <v>#REF!</v>
      </c>
      <c r="M6" s="141"/>
      <c r="N6" s="141"/>
    </row>
    <row r="7" spans="5:16" ht="18.600000000000001" customHeight="1">
      <c r="E7" s="88" t="s">
        <v>260</v>
      </c>
      <c r="F7" s="202"/>
      <c r="G7" s="222">
        <v>16.5</v>
      </c>
      <c r="H7" s="194">
        <f t="shared" si="0"/>
        <v>0.15656134358098492</v>
      </c>
      <c r="I7" s="84" t="e">
        <f>#REF!-#REF!</f>
        <v>#REF!</v>
      </c>
      <c r="J7" s="192">
        <v>105.39</v>
      </c>
      <c r="K7" s="109">
        <f t="shared" si="1"/>
        <v>1.1000000000000001</v>
      </c>
      <c r="L7" s="92" t="e">
        <f>#REF!+L6</f>
        <v>#REF!</v>
      </c>
      <c r="M7" s="141"/>
      <c r="N7" s="141"/>
    </row>
    <row r="8" spans="5:16" ht="18.600000000000001" customHeight="1">
      <c r="E8" s="88" t="s">
        <v>261</v>
      </c>
      <c r="F8" s="202">
        <v>3.3999999999999998E-3</v>
      </c>
      <c r="G8" s="222">
        <v>18.5</v>
      </c>
      <c r="H8" s="194">
        <f t="shared" si="0"/>
        <v>0.22847968383351858</v>
      </c>
      <c r="I8" s="84" t="e">
        <f>#REF!-#REF!</f>
        <v>#REF!</v>
      </c>
      <c r="J8" s="192">
        <v>80.97</v>
      </c>
      <c r="K8" s="109">
        <f t="shared" si="1"/>
        <v>1.1212121212121211</v>
      </c>
      <c r="L8" s="92" t="e">
        <f>#REF!+L7</f>
        <v>#REF!</v>
      </c>
      <c r="M8" s="141"/>
      <c r="N8" s="141"/>
    </row>
    <row r="9" spans="5:16" ht="18.600000000000001" customHeight="1">
      <c r="E9" s="88" t="s">
        <v>262</v>
      </c>
      <c r="F9" s="202"/>
      <c r="G9" s="222">
        <v>21.5</v>
      </c>
      <c r="H9" s="194">
        <f t="shared" si="0"/>
        <v>0.14331422477003064</v>
      </c>
      <c r="I9" s="84" t="e">
        <f>#REF!-#REF!</f>
        <v>#REF!</v>
      </c>
      <c r="J9" s="192">
        <v>150.02000000000001</v>
      </c>
      <c r="K9" s="109">
        <f t="shared" si="1"/>
        <v>1.1621621621621621</v>
      </c>
      <c r="L9" s="92" t="e">
        <f>#REF!+L8</f>
        <v>#REF!</v>
      </c>
      <c r="M9" s="141"/>
      <c r="N9" s="141"/>
    </row>
    <row r="10" spans="5:16" ht="18.600000000000001" customHeight="1">
      <c r="E10" s="88" t="s">
        <v>263</v>
      </c>
      <c r="F10" s="202">
        <v>6.0000000000000001E-3</v>
      </c>
      <c r="G10" s="222">
        <v>22.5</v>
      </c>
      <c r="H10" s="194">
        <f t="shared" si="0"/>
        <v>0.15735366109518148</v>
      </c>
      <c r="I10" s="84" t="e">
        <f>#REF!-#REF!</f>
        <v>#REF!</v>
      </c>
      <c r="J10" s="192">
        <v>142.99</v>
      </c>
      <c r="K10" s="94">
        <f t="shared" si="1"/>
        <v>1.0465116279069768</v>
      </c>
      <c r="L10" s="92" t="e">
        <f>#REF!+L9</f>
        <v>#REF!</v>
      </c>
      <c r="M10" s="141"/>
      <c r="N10" s="141"/>
      <c r="P10" s="83"/>
    </row>
    <row r="11" spans="5:16" ht="18.600000000000001" customHeight="1">
      <c r="E11" s="88" t="s">
        <v>264</v>
      </c>
      <c r="F11" s="202"/>
      <c r="G11" s="222">
        <v>25.5</v>
      </c>
      <c r="H11" s="194">
        <f t="shared" si="0"/>
        <v>0.18588715556203528</v>
      </c>
      <c r="I11" s="84" t="e">
        <f>#REF!-#REF!</f>
        <v>#REF!</v>
      </c>
      <c r="J11" s="192">
        <v>137.18</v>
      </c>
      <c r="K11" s="94">
        <f t="shared" si="1"/>
        <v>1.1333333333333333</v>
      </c>
      <c r="L11" s="92" t="e">
        <f>#REF!+L10</f>
        <v>#REF!</v>
      </c>
      <c r="M11" s="141"/>
      <c r="N11" s="141"/>
    </row>
    <row r="12" spans="5:16" ht="18.600000000000001" customHeight="1" thickBot="1">
      <c r="E12" s="88" t="s">
        <v>294</v>
      </c>
      <c r="F12" s="202"/>
      <c r="G12" s="222">
        <v>26</v>
      </c>
      <c r="H12" s="194">
        <f t="shared" si="0"/>
        <v>1.8840579710144927</v>
      </c>
      <c r="I12" s="84" t="e">
        <f>#REF!-#REF!</f>
        <v>#REF!</v>
      </c>
      <c r="J12" s="192">
        <v>13.8</v>
      </c>
      <c r="K12" s="94">
        <f t="shared" si="1"/>
        <v>1.0196078431372548</v>
      </c>
      <c r="L12" s="93" t="e">
        <f>L11</f>
        <v>#REF!</v>
      </c>
      <c r="M12" s="141"/>
      <c r="N12" s="141"/>
    </row>
    <row r="13" spans="5:16" ht="18.600000000000001" hidden="1" customHeight="1" thickBot="1">
      <c r="E13" s="131" t="s">
        <v>302</v>
      </c>
      <c r="F13" s="207"/>
      <c r="G13" s="221"/>
      <c r="H13" s="195" t="e">
        <f t="shared" si="0"/>
        <v>#DIV/0!</v>
      </c>
      <c r="I13" s="90" t="e">
        <f>#REF!-#REF!</f>
        <v>#REF!</v>
      </c>
      <c r="J13" s="193"/>
      <c r="K13" s="108">
        <f t="shared" si="1"/>
        <v>0</v>
      </c>
      <c r="P13" s="190"/>
    </row>
    <row r="14" spans="5:16">
      <c r="G14" s="190"/>
    </row>
  </sheetData>
  <mergeCells count="1">
    <mergeCell ref="E1:K1"/>
  </mergeCells>
  <phoneticPr fontId="4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売上構成</vt:lpstr>
      <vt:lpstr>株価指標</vt:lpstr>
      <vt:lpstr>株価指標2</vt:lpstr>
      <vt:lpstr>業績推移</vt:lpstr>
      <vt:lpstr>財務分析</vt:lpstr>
      <vt:lpstr>配当、自社株買い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2020-01-01T10:20:20Z</dcterms:created>
  <dcterms:modified xsi:type="dcterms:W3CDTF">2021-01-11T19:59:29Z</dcterms:modified>
</cp:coreProperties>
</file>